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660" yWindow="-15" windowWidth="15600" windowHeight="11640" firstSheet="1" activeTab="4"/>
  </bookViews>
  <sheets>
    <sheet name="Property" sheetId="1" r:id="rId1"/>
    <sheet name="CF+ Property NZ" sheetId="2" r:id="rId2"/>
    <sheet name="Growth Property Aus" sheetId="4" r:id="rId3"/>
    <sheet name="CF+ Lisa Cr NZ " sheetId="6" r:id="rId4"/>
    <sheet name="CF+ Lisa Cr NZ  (2)" sheetId="7" r:id="rId5"/>
  </sheets>
  <definedNames>
    <definedName name="_xlnm.Print_Area" localSheetId="3">'CF+ Lisa Cr NZ '!$B$1:$I$60</definedName>
    <definedName name="_xlnm.Print_Area" localSheetId="4">'CF+ Lisa Cr NZ  (2)'!$B$1:$I$60</definedName>
    <definedName name="_xlnm.Print_Area" localSheetId="1">'CF+ Property NZ'!$B$1:$I$60</definedName>
    <definedName name="_xlnm.Print_Area" localSheetId="2">'Growth Property Aus'!$B$1:$I$60</definedName>
    <definedName name="_xlnm.Print_Area" localSheetId="0">Property!$B$1:$I$60</definedName>
  </definedNames>
  <calcPr calcId="145621" calcOnSave="0" concurrentCalc="0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E96" i="7" l="1"/>
  <c r="F96" i="7"/>
  <c r="G96" i="7"/>
  <c r="H96" i="7"/>
  <c r="I96" i="7"/>
  <c r="E97" i="7"/>
  <c r="F97" i="7"/>
  <c r="G97" i="7"/>
  <c r="H97" i="7"/>
  <c r="I97" i="7"/>
  <c r="E98" i="7"/>
  <c r="F98" i="7"/>
  <c r="G98" i="7"/>
  <c r="H98" i="7"/>
  <c r="I98" i="7"/>
  <c r="J96" i="7"/>
  <c r="J97" i="7"/>
  <c r="J98" i="7"/>
  <c r="D63" i="7"/>
  <c r="E63" i="7"/>
  <c r="F63" i="7"/>
  <c r="G63" i="7"/>
  <c r="H63" i="7"/>
  <c r="I63" i="7"/>
  <c r="J63" i="7"/>
  <c r="K63" i="7"/>
  <c r="L63" i="7"/>
  <c r="M63" i="7"/>
  <c r="C19" i="7"/>
  <c r="M90" i="7"/>
  <c r="M84" i="7"/>
  <c r="C15" i="7"/>
  <c r="C20" i="7"/>
  <c r="M91" i="7"/>
  <c r="M92" i="7"/>
  <c r="L90" i="7"/>
  <c r="L84" i="7"/>
  <c r="L91" i="7"/>
  <c r="L92" i="7"/>
  <c r="K90" i="7"/>
  <c r="K84" i="7"/>
  <c r="K91" i="7"/>
  <c r="K92" i="7"/>
  <c r="J90" i="7"/>
  <c r="J84" i="7"/>
  <c r="J91" i="7"/>
  <c r="J92" i="7"/>
  <c r="I90" i="7"/>
  <c r="I84" i="7"/>
  <c r="I91" i="7"/>
  <c r="I92" i="7"/>
  <c r="H90" i="7"/>
  <c r="H84" i="7"/>
  <c r="H91" i="7"/>
  <c r="H92" i="7"/>
  <c r="G90" i="7"/>
  <c r="G84" i="7"/>
  <c r="G91" i="7"/>
  <c r="G92" i="7"/>
  <c r="F90" i="7"/>
  <c r="F84" i="7"/>
  <c r="F91" i="7"/>
  <c r="F92" i="7"/>
  <c r="E90" i="7"/>
  <c r="E84" i="7"/>
  <c r="E91" i="7"/>
  <c r="E92" i="7"/>
  <c r="D90" i="7"/>
  <c r="D84" i="7"/>
  <c r="D91" i="7"/>
  <c r="D92" i="7"/>
  <c r="C90" i="7"/>
  <c r="C84" i="7"/>
  <c r="C91" i="7"/>
  <c r="C92" i="7"/>
  <c r="M86" i="7"/>
  <c r="M87" i="7"/>
  <c r="M88" i="7"/>
  <c r="L86" i="7"/>
  <c r="L87" i="7"/>
  <c r="L88" i="7"/>
  <c r="K86" i="7"/>
  <c r="K87" i="7"/>
  <c r="K88" i="7"/>
  <c r="J86" i="7"/>
  <c r="J87" i="7"/>
  <c r="J88" i="7"/>
  <c r="I86" i="7"/>
  <c r="I87" i="7"/>
  <c r="I88" i="7"/>
  <c r="H86" i="7"/>
  <c r="H87" i="7"/>
  <c r="H88" i="7"/>
  <c r="G86" i="7"/>
  <c r="G87" i="7"/>
  <c r="G88" i="7"/>
  <c r="F86" i="7"/>
  <c r="F87" i="7"/>
  <c r="F88" i="7"/>
  <c r="E86" i="7"/>
  <c r="E87" i="7"/>
  <c r="E88" i="7"/>
  <c r="D86" i="7"/>
  <c r="D87" i="7"/>
  <c r="D88" i="7"/>
  <c r="C86" i="7"/>
  <c r="C87" i="7"/>
  <c r="C88" i="7"/>
  <c r="M80" i="7"/>
  <c r="C38" i="7"/>
  <c r="C39" i="7"/>
  <c r="C40" i="7"/>
  <c r="M67" i="7"/>
  <c r="C28" i="7"/>
  <c r="M66" i="7"/>
  <c r="M81" i="7"/>
  <c r="L80" i="7"/>
  <c r="L67" i="7"/>
  <c r="L66" i="7"/>
  <c r="L81" i="7"/>
  <c r="K80" i="7"/>
  <c r="K67" i="7"/>
  <c r="K66" i="7"/>
  <c r="K81" i="7"/>
  <c r="J80" i="7"/>
  <c r="J67" i="7"/>
  <c r="J66" i="7"/>
  <c r="J81" i="7"/>
  <c r="I80" i="7"/>
  <c r="I67" i="7"/>
  <c r="I66" i="7"/>
  <c r="I81" i="7"/>
  <c r="H80" i="7"/>
  <c r="H67" i="7"/>
  <c r="H66" i="7"/>
  <c r="H81" i="7"/>
  <c r="G80" i="7"/>
  <c r="G67" i="7"/>
  <c r="G66" i="7"/>
  <c r="G81" i="7"/>
  <c r="F80" i="7"/>
  <c r="F67" i="7"/>
  <c r="F66" i="7"/>
  <c r="F81" i="7"/>
  <c r="E80" i="7"/>
  <c r="E67" i="7"/>
  <c r="E66" i="7"/>
  <c r="E81" i="7"/>
  <c r="D80" i="7"/>
  <c r="D67" i="7"/>
  <c r="D66" i="7"/>
  <c r="D81" i="7"/>
  <c r="C80" i="7"/>
  <c r="C67" i="7"/>
  <c r="C66" i="7"/>
  <c r="C81" i="7"/>
  <c r="M74" i="7"/>
  <c r="M75" i="7"/>
  <c r="E43" i="7"/>
  <c r="M76" i="7"/>
  <c r="M77" i="7"/>
  <c r="L74" i="7"/>
  <c r="L75" i="7"/>
  <c r="L76" i="7"/>
  <c r="L77" i="7"/>
  <c r="K74" i="7"/>
  <c r="K75" i="7"/>
  <c r="K76" i="7"/>
  <c r="K77" i="7"/>
  <c r="J74" i="7"/>
  <c r="J75" i="7"/>
  <c r="J76" i="7"/>
  <c r="J77" i="7"/>
  <c r="I74" i="7"/>
  <c r="I75" i="7"/>
  <c r="I76" i="7"/>
  <c r="I77" i="7"/>
  <c r="H74" i="7"/>
  <c r="H75" i="7"/>
  <c r="H76" i="7"/>
  <c r="H77" i="7"/>
  <c r="G74" i="7"/>
  <c r="G75" i="7"/>
  <c r="G76" i="7"/>
  <c r="G77" i="7"/>
  <c r="F74" i="7"/>
  <c r="F75" i="7"/>
  <c r="F76" i="7"/>
  <c r="F77" i="7"/>
  <c r="E74" i="7"/>
  <c r="E75" i="7"/>
  <c r="E76" i="7"/>
  <c r="E77" i="7"/>
  <c r="D74" i="7"/>
  <c r="D75" i="7"/>
  <c r="D76" i="7"/>
  <c r="D77" i="7"/>
  <c r="C74" i="7"/>
  <c r="C75" i="7"/>
  <c r="C76" i="7"/>
  <c r="C77" i="7"/>
  <c r="D43" i="7"/>
  <c r="D49" i="7"/>
  <c r="M68" i="7"/>
  <c r="M69" i="7"/>
  <c r="L68" i="7"/>
  <c r="L69" i="7"/>
  <c r="K68" i="7"/>
  <c r="K69" i="7"/>
  <c r="J68" i="7"/>
  <c r="J69" i="7"/>
  <c r="I68" i="7"/>
  <c r="I69" i="7"/>
  <c r="H68" i="7"/>
  <c r="H69" i="7"/>
  <c r="G68" i="7"/>
  <c r="G69" i="7"/>
  <c r="F68" i="7"/>
  <c r="F69" i="7"/>
  <c r="E68" i="7"/>
  <c r="E69" i="7"/>
  <c r="D68" i="7"/>
  <c r="D69" i="7"/>
  <c r="C68" i="7"/>
  <c r="C69" i="7"/>
  <c r="E53" i="7"/>
  <c r="E54" i="7"/>
  <c r="E55" i="7"/>
  <c r="E56" i="7"/>
  <c r="E60" i="7"/>
  <c r="C60" i="7"/>
  <c r="E61" i="7"/>
  <c r="D47" i="7"/>
  <c r="D53" i="7"/>
  <c r="D48" i="7"/>
  <c r="D54" i="7"/>
  <c r="D55" i="7"/>
  <c r="D56" i="7"/>
  <c r="D60" i="7"/>
  <c r="D61" i="7"/>
  <c r="E52" i="7"/>
  <c r="E59" i="7"/>
  <c r="D52" i="7"/>
  <c r="D59" i="7"/>
  <c r="D50" i="7"/>
  <c r="C26" i="7"/>
  <c r="C22" i="7"/>
  <c r="L63" i="6"/>
  <c r="M63" i="6"/>
  <c r="L66" i="6"/>
  <c r="M66" i="6"/>
  <c r="C38" i="6"/>
  <c r="C39" i="6"/>
  <c r="C40" i="6"/>
  <c r="L67" i="6"/>
  <c r="M67" i="6"/>
  <c r="L68" i="6"/>
  <c r="M68" i="6"/>
  <c r="L69" i="6"/>
  <c r="M69" i="6"/>
  <c r="L74" i="6"/>
  <c r="M74" i="6"/>
  <c r="L75" i="6"/>
  <c r="M75" i="6"/>
  <c r="L76" i="6"/>
  <c r="M76" i="6"/>
  <c r="L77" i="6"/>
  <c r="M77" i="6"/>
  <c r="L80" i="6"/>
  <c r="M80" i="6"/>
  <c r="L81" i="6"/>
  <c r="M81" i="6"/>
  <c r="L84" i="6"/>
  <c r="M84" i="6"/>
  <c r="L86" i="6"/>
  <c r="M86" i="6"/>
  <c r="L87" i="6"/>
  <c r="M87" i="6"/>
  <c r="L88" i="6"/>
  <c r="M88" i="6"/>
  <c r="L90" i="6"/>
  <c r="M90" i="6"/>
  <c r="L91" i="6"/>
  <c r="M91" i="6"/>
  <c r="L92" i="6"/>
  <c r="M92" i="6"/>
  <c r="J63" i="6"/>
  <c r="K63" i="6"/>
  <c r="J66" i="6"/>
  <c r="K66" i="6"/>
  <c r="J67" i="6"/>
  <c r="K67" i="6"/>
  <c r="J68" i="6"/>
  <c r="K68" i="6"/>
  <c r="J69" i="6"/>
  <c r="K69" i="6"/>
  <c r="J74" i="6"/>
  <c r="K74" i="6"/>
  <c r="J75" i="6"/>
  <c r="K75" i="6"/>
  <c r="J76" i="6"/>
  <c r="K76" i="6"/>
  <c r="J77" i="6"/>
  <c r="K77" i="6"/>
  <c r="J80" i="6"/>
  <c r="K80" i="6"/>
  <c r="J81" i="6"/>
  <c r="K81" i="6"/>
  <c r="J84" i="6"/>
  <c r="K84" i="6"/>
  <c r="J86" i="6"/>
  <c r="K86" i="6"/>
  <c r="J87" i="6"/>
  <c r="K87" i="6"/>
  <c r="J88" i="6"/>
  <c r="K88" i="6"/>
  <c r="J90" i="6"/>
  <c r="K90" i="6"/>
  <c r="J91" i="6"/>
  <c r="K91" i="6"/>
  <c r="J92" i="6"/>
  <c r="K92" i="6"/>
  <c r="D63" i="6"/>
  <c r="E63" i="6"/>
  <c r="F63" i="6"/>
  <c r="G63" i="6"/>
  <c r="H63" i="6"/>
  <c r="I63" i="6"/>
  <c r="C19" i="6"/>
  <c r="I90" i="6"/>
  <c r="I84" i="6"/>
  <c r="C15" i="6"/>
  <c r="C20" i="6"/>
  <c r="I91" i="6"/>
  <c r="I92" i="6"/>
  <c r="H90" i="6"/>
  <c r="H84" i="6"/>
  <c r="H91" i="6"/>
  <c r="H92" i="6"/>
  <c r="G90" i="6"/>
  <c r="G84" i="6"/>
  <c r="G91" i="6"/>
  <c r="G92" i="6"/>
  <c r="F90" i="6"/>
  <c r="F84" i="6"/>
  <c r="F91" i="6"/>
  <c r="F92" i="6"/>
  <c r="E90" i="6"/>
  <c r="E84" i="6"/>
  <c r="E91" i="6"/>
  <c r="E92" i="6"/>
  <c r="D90" i="6"/>
  <c r="D84" i="6"/>
  <c r="D91" i="6"/>
  <c r="D92" i="6"/>
  <c r="C90" i="6"/>
  <c r="C84" i="6"/>
  <c r="C91" i="6"/>
  <c r="C92" i="6"/>
  <c r="I86" i="6"/>
  <c r="I87" i="6"/>
  <c r="I88" i="6"/>
  <c r="H86" i="6"/>
  <c r="H87" i="6"/>
  <c r="H88" i="6"/>
  <c r="G86" i="6"/>
  <c r="G87" i="6"/>
  <c r="G88" i="6"/>
  <c r="F86" i="6"/>
  <c r="F87" i="6"/>
  <c r="F88" i="6"/>
  <c r="E86" i="6"/>
  <c r="E87" i="6"/>
  <c r="E88" i="6"/>
  <c r="D86" i="6"/>
  <c r="D87" i="6"/>
  <c r="D88" i="6"/>
  <c r="C86" i="6"/>
  <c r="C87" i="6"/>
  <c r="C88" i="6"/>
  <c r="I80" i="6"/>
  <c r="I67" i="6"/>
  <c r="C28" i="6"/>
  <c r="I66" i="6"/>
  <c r="I81" i="6"/>
  <c r="H80" i="6"/>
  <c r="H67" i="6"/>
  <c r="H66" i="6"/>
  <c r="H81" i="6"/>
  <c r="G80" i="6"/>
  <c r="G67" i="6"/>
  <c r="G66" i="6"/>
  <c r="G81" i="6"/>
  <c r="F80" i="6"/>
  <c r="F67" i="6"/>
  <c r="F66" i="6"/>
  <c r="F81" i="6"/>
  <c r="E80" i="6"/>
  <c r="E67" i="6"/>
  <c r="E66" i="6"/>
  <c r="E81" i="6"/>
  <c r="D80" i="6"/>
  <c r="D67" i="6"/>
  <c r="D66" i="6"/>
  <c r="D81" i="6"/>
  <c r="C80" i="6"/>
  <c r="C67" i="6"/>
  <c r="C66" i="6"/>
  <c r="C81" i="6"/>
  <c r="I74" i="6"/>
  <c r="I75" i="6"/>
  <c r="E43" i="6"/>
  <c r="I76" i="6"/>
  <c r="I77" i="6"/>
  <c r="H74" i="6"/>
  <c r="H75" i="6"/>
  <c r="H76" i="6"/>
  <c r="H77" i="6"/>
  <c r="G74" i="6"/>
  <c r="G75" i="6"/>
  <c r="G76" i="6"/>
  <c r="G77" i="6"/>
  <c r="F74" i="6"/>
  <c r="F75" i="6"/>
  <c r="F76" i="6"/>
  <c r="F77" i="6"/>
  <c r="E74" i="6"/>
  <c r="E75" i="6"/>
  <c r="E76" i="6"/>
  <c r="E77" i="6"/>
  <c r="D74" i="6"/>
  <c r="D75" i="6"/>
  <c r="D76" i="6"/>
  <c r="D77" i="6"/>
  <c r="C74" i="6"/>
  <c r="C75" i="6"/>
  <c r="C76" i="6"/>
  <c r="C77" i="6"/>
  <c r="D43" i="6"/>
  <c r="D49" i="6"/>
  <c r="I68" i="6"/>
  <c r="I69" i="6"/>
  <c r="H68" i="6"/>
  <c r="H69" i="6"/>
  <c r="G68" i="6"/>
  <c r="G69" i="6"/>
  <c r="F68" i="6"/>
  <c r="F69" i="6"/>
  <c r="E68" i="6"/>
  <c r="E69" i="6"/>
  <c r="D68" i="6"/>
  <c r="D69" i="6"/>
  <c r="C68" i="6"/>
  <c r="C69" i="6"/>
  <c r="E53" i="6"/>
  <c r="E54" i="6"/>
  <c r="E55" i="6"/>
  <c r="E56" i="6"/>
  <c r="E60" i="6"/>
  <c r="C60" i="6"/>
  <c r="E61" i="6"/>
  <c r="D47" i="6"/>
  <c r="D53" i="6"/>
  <c r="D48" i="6"/>
  <c r="D54" i="6"/>
  <c r="D55" i="6"/>
  <c r="D56" i="6"/>
  <c r="D60" i="6"/>
  <c r="D61" i="6"/>
  <c r="E52" i="6"/>
  <c r="E59" i="6"/>
  <c r="D52" i="6"/>
  <c r="D59" i="6"/>
  <c r="D50" i="6"/>
  <c r="C26" i="6"/>
  <c r="C22" i="6"/>
  <c r="D63" i="4"/>
  <c r="E63" i="4"/>
  <c r="F63" i="4"/>
  <c r="G63" i="4"/>
  <c r="H63" i="4"/>
  <c r="I63" i="4"/>
  <c r="C19" i="4"/>
  <c r="I90" i="4"/>
  <c r="I84" i="4"/>
  <c r="C15" i="4"/>
  <c r="C20" i="4"/>
  <c r="I91" i="4"/>
  <c r="I92" i="4"/>
  <c r="H90" i="4"/>
  <c r="H84" i="4"/>
  <c r="H91" i="4"/>
  <c r="H92" i="4"/>
  <c r="G90" i="4"/>
  <c r="G84" i="4"/>
  <c r="G91" i="4"/>
  <c r="G92" i="4"/>
  <c r="F90" i="4"/>
  <c r="F84" i="4"/>
  <c r="F91" i="4"/>
  <c r="F92" i="4"/>
  <c r="E90" i="4"/>
  <c r="E84" i="4"/>
  <c r="E91" i="4"/>
  <c r="E92" i="4"/>
  <c r="D90" i="4"/>
  <c r="D84" i="4"/>
  <c r="D91" i="4"/>
  <c r="D92" i="4"/>
  <c r="C90" i="4"/>
  <c r="C84" i="4"/>
  <c r="C91" i="4"/>
  <c r="C92" i="4"/>
  <c r="I86" i="4"/>
  <c r="I87" i="4"/>
  <c r="I88" i="4"/>
  <c r="H86" i="4"/>
  <c r="H87" i="4"/>
  <c r="H88" i="4"/>
  <c r="G86" i="4"/>
  <c r="G87" i="4"/>
  <c r="G88" i="4"/>
  <c r="F86" i="4"/>
  <c r="F87" i="4"/>
  <c r="F88" i="4"/>
  <c r="E86" i="4"/>
  <c r="E87" i="4"/>
  <c r="E88" i="4"/>
  <c r="D86" i="4"/>
  <c r="D87" i="4"/>
  <c r="D88" i="4"/>
  <c r="C86" i="4"/>
  <c r="C87" i="4"/>
  <c r="C88" i="4"/>
  <c r="I80" i="4"/>
  <c r="C38" i="4"/>
  <c r="C39" i="4"/>
  <c r="C40" i="4"/>
  <c r="I67" i="4"/>
  <c r="C28" i="4"/>
  <c r="I66" i="4"/>
  <c r="I81" i="4"/>
  <c r="H80" i="4"/>
  <c r="H67" i="4"/>
  <c r="H66" i="4"/>
  <c r="H81" i="4"/>
  <c r="G80" i="4"/>
  <c r="G67" i="4"/>
  <c r="G66" i="4"/>
  <c r="G81" i="4"/>
  <c r="F80" i="4"/>
  <c r="F67" i="4"/>
  <c r="F66" i="4"/>
  <c r="F81" i="4"/>
  <c r="E80" i="4"/>
  <c r="E67" i="4"/>
  <c r="E66" i="4"/>
  <c r="E81" i="4"/>
  <c r="D80" i="4"/>
  <c r="D67" i="4"/>
  <c r="D66" i="4"/>
  <c r="D81" i="4"/>
  <c r="C80" i="4"/>
  <c r="C67" i="4"/>
  <c r="C66" i="4"/>
  <c r="C81" i="4"/>
  <c r="I74" i="4"/>
  <c r="I75" i="4"/>
  <c r="E43" i="4"/>
  <c r="I76" i="4"/>
  <c r="I77" i="4"/>
  <c r="H74" i="4"/>
  <c r="H75" i="4"/>
  <c r="H76" i="4"/>
  <c r="H77" i="4"/>
  <c r="G74" i="4"/>
  <c r="G75" i="4"/>
  <c r="G76" i="4"/>
  <c r="G77" i="4"/>
  <c r="F74" i="4"/>
  <c r="F75" i="4"/>
  <c r="F76" i="4"/>
  <c r="F77" i="4"/>
  <c r="E74" i="4"/>
  <c r="E75" i="4"/>
  <c r="E76" i="4"/>
  <c r="E77" i="4"/>
  <c r="D74" i="4"/>
  <c r="D75" i="4"/>
  <c r="D76" i="4"/>
  <c r="D77" i="4"/>
  <c r="C74" i="4"/>
  <c r="C75" i="4"/>
  <c r="C76" i="4"/>
  <c r="C77" i="4"/>
  <c r="D43" i="4"/>
  <c r="D49" i="4"/>
  <c r="I68" i="4"/>
  <c r="I69" i="4"/>
  <c r="H68" i="4"/>
  <c r="H69" i="4"/>
  <c r="G68" i="4"/>
  <c r="G69" i="4"/>
  <c r="F68" i="4"/>
  <c r="F69" i="4"/>
  <c r="E68" i="4"/>
  <c r="E69" i="4"/>
  <c r="D68" i="4"/>
  <c r="D69" i="4"/>
  <c r="C68" i="4"/>
  <c r="C69" i="4"/>
  <c r="E53" i="4"/>
  <c r="E54" i="4"/>
  <c r="E55" i="4"/>
  <c r="E56" i="4"/>
  <c r="E60" i="4"/>
  <c r="C60" i="4"/>
  <c r="E61" i="4"/>
  <c r="D47" i="4"/>
  <c r="D53" i="4"/>
  <c r="D48" i="4"/>
  <c r="D54" i="4"/>
  <c r="D55" i="4"/>
  <c r="D56" i="4"/>
  <c r="D60" i="4"/>
  <c r="D61" i="4"/>
  <c r="E52" i="4"/>
  <c r="E59" i="4"/>
  <c r="D52" i="4"/>
  <c r="D59" i="4"/>
  <c r="D50" i="4"/>
  <c r="C26" i="4"/>
  <c r="C22" i="4"/>
  <c r="D63" i="2"/>
  <c r="E63" i="2"/>
  <c r="F63" i="2"/>
  <c r="G63" i="2"/>
  <c r="H63" i="2"/>
  <c r="I63" i="2"/>
  <c r="C19" i="2"/>
  <c r="I90" i="2"/>
  <c r="I84" i="2"/>
  <c r="C15" i="2"/>
  <c r="C20" i="2"/>
  <c r="I91" i="2"/>
  <c r="I92" i="2"/>
  <c r="H90" i="2"/>
  <c r="H84" i="2"/>
  <c r="H91" i="2"/>
  <c r="H92" i="2"/>
  <c r="G90" i="2"/>
  <c r="G84" i="2"/>
  <c r="G91" i="2"/>
  <c r="G92" i="2"/>
  <c r="F90" i="2"/>
  <c r="F84" i="2"/>
  <c r="F91" i="2"/>
  <c r="F92" i="2"/>
  <c r="E90" i="2"/>
  <c r="E84" i="2"/>
  <c r="E91" i="2"/>
  <c r="E92" i="2"/>
  <c r="D90" i="2"/>
  <c r="D84" i="2"/>
  <c r="D91" i="2"/>
  <c r="D92" i="2"/>
  <c r="C90" i="2"/>
  <c r="C84" i="2"/>
  <c r="C91" i="2"/>
  <c r="C92" i="2"/>
  <c r="I86" i="2"/>
  <c r="I87" i="2"/>
  <c r="I88" i="2"/>
  <c r="H86" i="2"/>
  <c r="H87" i="2"/>
  <c r="H88" i="2"/>
  <c r="G86" i="2"/>
  <c r="G87" i="2"/>
  <c r="G88" i="2"/>
  <c r="F86" i="2"/>
  <c r="F87" i="2"/>
  <c r="F88" i="2"/>
  <c r="E86" i="2"/>
  <c r="E87" i="2"/>
  <c r="E88" i="2"/>
  <c r="D86" i="2"/>
  <c r="D87" i="2"/>
  <c r="D88" i="2"/>
  <c r="C86" i="2"/>
  <c r="C87" i="2"/>
  <c r="C88" i="2"/>
  <c r="I80" i="2"/>
  <c r="C38" i="2"/>
  <c r="C39" i="2"/>
  <c r="C40" i="2"/>
  <c r="I67" i="2"/>
  <c r="C28" i="2"/>
  <c r="I66" i="2"/>
  <c r="I81" i="2"/>
  <c r="H80" i="2"/>
  <c r="H67" i="2"/>
  <c r="H66" i="2"/>
  <c r="H81" i="2"/>
  <c r="G80" i="2"/>
  <c r="G67" i="2"/>
  <c r="G66" i="2"/>
  <c r="G81" i="2"/>
  <c r="F80" i="2"/>
  <c r="F67" i="2"/>
  <c r="F66" i="2"/>
  <c r="F81" i="2"/>
  <c r="E80" i="2"/>
  <c r="E67" i="2"/>
  <c r="E66" i="2"/>
  <c r="E81" i="2"/>
  <c r="D80" i="2"/>
  <c r="D67" i="2"/>
  <c r="D66" i="2"/>
  <c r="D81" i="2"/>
  <c r="C80" i="2"/>
  <c r="C67" i="2"/>
  <c r="C66" i="2"/>
  <c r="C81" i="2"/>
  <c r="I74" i="2"/>
  <c r="I75" i="2"/>
  <c r="E43" i="2"/>
  <c r="I76" i="2"/>
  <c r="I77" i="2"/>
  <c r="H74" i="2"/>
  <c r="H75" i="2"/>
  <c r="H76" i="2"/>
  <c r="H77" i="2"/>
  <c r="G74" i="2"/>
  <c r="G75" i="2"/>
  <c r="G76" i="2"/>
  <c r="G77" i="2"/>
  <c r="F74" i="2"/>
  <c r="F75" i="2"/>
  <c r="F76" i="2"/>
  <c r="F77" i="2"/>
  <c r="E74" i="2"/>
  <c r="E75" i="2"/>
  <c r="E76" i="2"/>
  <c r="E77" i="2"/>
  <c r="D74" i="2"/>
  <c r="D75" i="2"/>
  <c r="D76" i="2"/>
  <c r="D77" i="2"/>
  <c r="C74" i="2"/>
  <c r="C75" i="2"/>
  <c r="C76" i="2"/>
  <c r="C77" i="2"/>
  <c r="D43" i="2"/>
  <c r="D49" i="2"/>
  <c r="I68" i="2"/>
  <c r="I69" i="2"/>
  <c r="H68" i="2"/>
  <c r="H69" i="2"/>
  <c r="G68" i="2"/>
  <c r="G69" i="2"/>
  <c r="F68" i="2"/>
  <c r="F69" i="2"/>
  <c r="E68" i="2"/>
  <c r="E69" i="2"/>
  <c r="D68" i="2"/>
  <c r="D69" i="2"/>
  <c r="C68" i="2"/>
  <c r="C69" i="2"/>
  <c r="E53" i="2"/>
  <c r="E54" i="2"/>
  <c r="E55" i="2"/>
  <c r="E56" i="2"/>
  <c r="E60" i="2"/>
  <c r="C60" i="2"/>
  <c r="E61" i="2"/>
  <c r="D47" i="2"/>
  <c r="D53" i="2"/>
  <c r="D48" i="2"/>
  <c r="D54" i="2"/>
  <c r="D55" i="2"/>
  <c r="D56" i="2"/>
  <c r="D60" i="2"/>
  <c r="D61" i="2"/>
  <c r="E52" i="2"/>
  <c r="E59" i="2"/>
  <c r="D52" i="2"/>
  <c r="D59" i="2"/>
  <c r="D50" i="2"/>
  <c r="C26" i="2"/>
  <c r="C22" i="2"/>
  <c r="I84" i="1"/>
  <c r="H84" i="1"/>
  <c r="G84" i="1"/>
  <c r="F84" i="1"/>
  <c r="E84" i="1"/>
  <c r="D84" i="1"/>
  <c r="C20" i="1"/>
  <c r="C84" i="1"/>
  <c r="C19" i="1"/>
  <c r="C80" i="1"/>
  <c r="C81" i="1"/>
  <c r="D63" i="1"/>
  <c r="D90" i="1"/>
  <c r="C15" i="1"/>
  <c r="D91" i="1"/>
  <c r="D92" i="1"/>
  <c r="E63" i="1"/>
  <c r="E90" i="1"/>
  <c r="E91" i="1"/>
  <c r="E92" i="1"/>
  <c r="F63" i="1"/>
  <c r="F90" i="1"/>
  <c r="F91" i="1"/>
  <c r="F92" i="1"/>
  <c r="G63" i="1"/>
  <c r="G90" i="1"/>
  <c r="G91" i="1"/>
  <c r="G92" i="1"/>
  <c r="H63" i="1"/>
  <c r="H90" i="1"/>
  <c r="H91" i="1"/>
  <c r="H92" i="1"/>
  <c r="I63" i="1"/>
  <c r="I90" i="1"/>
  <c r="I91" i="1"/>
  <c r="I92" i="1"/>
  <c r="C90" i="1"/>
  <c r="C91" i="1"/>
  <c r="C92" i="1"/>
  <c r="D87" i="1"/>
  <c r="E87" i="1"/>
  <c r="F87" i="1"/>
  <c r="G87" i="1"/>
  <c r="H87" i="1"/>
  <c r="I87" i="1"/>
  <c r="D86" i="1"/>
  <c r="D88" i="1"/>
  <c r="E86" i="1"/>
  <c r="E88" i="1"/>
  <c r="F86" i="1"/>
  <c r="F88" i="1"/>
  <c r="G86" i="1"/>
  <c r="G88" i="1"/>
  <c r="H86" i="1"/>
  <c r="H88" i="1"/>
  <c r="I86" i="1"/>
  <c r="I88" i="1"/>
  <c r="C87" i="1"/>
  <c r="C86" i="1"/>
  <c r="C88" i="1"/>
  <c r="D80" i="1"/>
  <c r="C38" i="1"/>
  <c r="C39" i="1"/>
  <c r="C40" i="1"/>
  <c r="D67" i="1"/>
  <c r="C28" i="1"/>
  <c r="D66" i="1"/>
  <c r="D81" i="1"/>
  <c r="E80" i="1"/>
  <c r="E67" i="1"/>
  <c r="E66" i="1"/>
  <c r="E81" i="1"/>
  <c r="F80" i="1"/>
  <c r="F67" i="1"/>
  <c r="F66" i="1"/>
  <c r="F81" i="1"/>
  <c r="G80" i="1"/>
  <c r="G67" i="1"/>
  <c r="G66" i="1"/>
  <c r="G81" i="1"/>
  <c r="H80" i="1"/>
  <c r="H67" i="1"/>
  <c r="H66" i="1"/>
  <c r="H81" i="1"/>
  <c r="I80" i="1"/>
  <c r="I67" i="1"/>
  <c r="I66" i="1"/>
  <c r="I81" i="1"/>
  <c r="C67" i="1"/>
  <c r="C66" i="1"/>
  <c r="D74" i="1"/>
  <c r="D75" i="1"/>
  <c r="E43" i="1"/>
  <c r="D76" i="1"/>
  <c r="D77" i="1"/>
  <c r="E74" i="1"/>
  <c r="E75" i="1"/>
  <c r="E76" i="1"/>
  <c r="E77" i="1"/>
  <c r="F74" i="1"/>
  <c r="F75" i="1"/>
  <c r="F76" i="1"/>
  <c r="F77" i="1"/>
  <c r="G74" i="1"/>
  <c r="G75" i="1"/>
  <c r="G76" i="1"/>
  <c r="G77" i="1"/>
  <c r="H74" i="1"/>
  <c r="H75" i="1"/>
  <c r="H76" i="1"/>
  <c r="H77" i="1"/>
  <c r="I74" i="1"/>
  <c r="I75" i="1"/>
  <c r="I76" i="1"/>
  <c r="I77" i="1"/>
  <c r="C74" i="1"/>
  <c r="C75" i="1"/>
  <c r="C76" i="1"/>
  <c r="C77" i="1"/>
  <c r="D43" i="1"/>
  <c r="D49" i="1"/>
  <c r="D68" i="1"/>
  <c r="D69" i="1"/>
  <c r="E68" i="1"/>
  <c r="E69" i="1"/>
  <c r="F68" i="1"/>
  <c r="F69" i="1"/>
  <c r="G68" i="1"/>
  <c r="G69" i="1"/>
  <c r="H68" i="1"/>
  <c r="H69" i="1"/>
  <c r="I68" i="1"/>
  <c r="I69" i="1"/>
  <c r="C68" i="1"/>
  <c r="C69" i="1"/>
  <c r="D47" i="1"/>
  <c r="D53" i="1"/>
  <c r="D48" i="1"/>
  <c r="D54" i="1"/>
  <c r="D55" i="1"/>
  <c r="D56" i="1"/>
  <c r="D60" i="1"/>
  <c r="C60" i="1"/>
  <c r="D61" i="1"/>
  <c r="E53" i="1"/>
  <c r="E54" i="1"/>
  <c r="E55" i="1"/>
  <c r="E56" i="1"/>
  <c r="E60" i="1"/>
  <c r="E61" i="1"/>
  <c r="E52" i="1"/>
  <c r="E59" i="1"/>
  <c r="D52" i="1"/>
  <c r="D59" i="1"/>
  <c r="C26" i="1"/>
  <c r="C22" i="1"/>
  <c r="D50" i="1"/>
</calcChain>
</file>

<file path=xl/comments1.xml><?xml version="1.0" encoding="utf-8"?>
<comments xmlns="http://schemas.openxmlformats.org/spreadsheetml/2006/main">
  <authors>
    <author>Dwight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In NZ approx 2%
In AUS approx 5%
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NZ GST rate = 15%
AUS GST rate = 10%
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be conservative with +CF deals. There may be growth but less than other deals
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Simple Yield = Annual Rent/Purchase Price</t>
        </r>
      </text>
    </comment>
    <comment ref="C27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I allow 96% = approx 2 weeks vacancy per year
</t>
        </r>
      </text>
    </comment>
  </commentList>
</comments>
</file>

<file path=xl/comments2.xml><?xml version="1.0" encoding="utf-8"?>
<comments xmlns="http://schemas.openxmlformats.org/spreadsheetml/2006/main">
  <authors>
    <author>Dwight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In NZ approx 2%
In AUS approx 5%
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NZ GST rate = 15%
AUS GST rate = 10%
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This will apply annual increases to Property Income and Costs (excluding interest)
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be conservative with +CF deals. There may be growth but less than other deals
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Simple Yield = Annual Rent/Purchase Price</t>
        </r>
      </text>
    </comment>
    <comment ref="C27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I allow 96% = approx 2 weeks vacancy per year
</t>
        </r>
      </text>
    </comment>
  </commentList>
</comments>
</file>

<file path=xl/comments3.xml><?xml version="1.0" encoding="utf-8"?>
<comments xmlns="http://schemas.openxmlformats.org/spreadsheetml/2006/main">
  <authors>
    <author>Dwight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In NZ approx 2%
In AUS approx 5%
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NZ GST rate = 15%
AUS GST rate = 10%
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This will apply annual increases to Property Income and Costs (excluding interest)
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be conservative with +CF deals. There may be growth but less than other deals
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Simple Yield = Annual Rent/Purchase Price</t>
        </r>
      </text>
    </comment>
    <comment ref="C27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I allow 96% = approx 2 weeks vacancy per year
</t>
        </r>
      </text>
    </comment>
  </commentList>
</comments>
</file>

<file path=xl/comments4.xml><?xml version="1.0" encoding="utf-8"?>
<comments xmlns="http://schemas.openxmlformats.org/spreadsheetml/2006/main">
  <authors>
    <author>Dwight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In NZ approx 2%
In AUS approx 5%
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NZ GST rate = 15%
AUS GST rate = 10%
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This will apply annual increases to Property Income and Costs (excluding interest)
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be conservative with +CF deals. There may be growth but less than other deals
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Simple Yield = Annual Rent/Purchase Price</t>
        </r>
      </text>
    </comment>
    <comment ref="C27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I allow 96% = approx 2 weeks vacancy per year
</t>
        </r>
      </text>
    </comment>
  </commentList>
</comments>
</file>

<file path=xl/comments5.xml><?xml version="1.0" encoding="utf-8"?>
<comments xmlns="http://schemas.openxmlformats.org/spreadsheetml/2006/main">
  <authors>
    <author>Dwight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In NZ approx 2%
In AUS approx 5%
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NZ GST rate = 15%
AUS GST rate = 10%
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This will apply annual increases to Property Income and Costs (excluding interest)
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be conservative with +CF deals. There may be growth but less than other deals
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Simple Yield = Annual Rent/Purchase Price</t>
        </r>
      </text>
    </comment>
    <comment ref="C27" authorId="0">
      <text>
        <r>
          <rPr>
            <b/>
            <sz val="9"/>
            <color indexed="81"/>
            <rFont val="Tahoma"/>
            <charset val="1"/>
          </rPr>
          <t>Dwight:</t>
        </r>
        <r>
          <rPr>
            <sz val="9"/>
            <color indexed="81"/>
            <rFont val="Tahoma"/>
            <charset val="1"/>
          </rPr>
          <t xml:space="preserve">
nb I allow 96% = approx 2 weeks vacancy per year
</t>
        </r>
      </text>
    </comment>
  </commentList>
</comments>
</file>

<file path=xl/sharedStrings.xml><?xml version="1.0" encoding="utf-8"?>
<sst xmlns="http://schemas.openxmlformats.org/spreadsheetml/2006/main" count="403" uniqueCount="68">
  <si>
    <t>Total</t>
    <phoneticPr fontId="1" type="noConversion"/>
  </si>
  <si>
    <t>Investment Property Calculator</t>
  </si>
  <si>
    <t>Bank Loan</t>
  </si>
  <si>
    <t>Purchase Price</t>
  </si>
  <si>
    <t>Income</t>
  </si>
  <si>
    <t>Loan %</t>
  </si>
  <si>
    <t>Closing Costs%</t>
  </si>
  <si>
    <t>Interest Rate</t>
  </si>
  <si>
    <t>Closing Costs</t>
  </si>
  <si>
    <t>Cash in Deal</t>
  </si>
  <si>
    <t>Weekly Rental</t>
  </si>
  <si>
    <t>Occupancy Rate</t>
  </si>
  <si>
    <t>Gross Yield</t>
  </si>
  <si>
    <t>Finance Costs</t>
  </si>
  <si>
    <t>Property Costs</t>
  </si>
  <si>
    <t>Loan Payments</t>
  </si>
  <si>
    <t>Annual Loan Fee</t>
  </si>
  <si>
    <t>Repairs</t>
  </si>
  <si>
    <t>Rates</t>
  </si>
  <si>
    <t>Utilities</t>
  </si>
  <si>
    <t>Owners Corp</t>
  </si>
  <si>
    <t>Insurance</t>
  </si>
  <si>
    <t>GST on Agent Fee</t>
  </si>
  <si>
    <t>Agent Fee</t>
  </si>
  <si>
    <t>GST Rate</t>
  </si>
  <si>
    <t>Taxes</t>
  </si>
  <si>
    <t>CashFlow Position</t>
  </si>
  <si>
    <t>Cash Analysis</t>
  </si>
  <si>
    <t>Cash in Deal / CashFlow</t>
  </si>
  <si>
    <t>Cash In</t>
  </si>
  <si>
    <t>Cash Out</t>
  </si>
  <si>
    <t>Cash on Cash Return</t>
  </si>
  <si>
    <t>Other initial costs</t>
  </si>
  <si>
    <t>Rental / Income</t>
  </si>
  <si>
    <t>Agent Comission %</t>
  </si>
  <si>
    <t>Interest Only</t>
  </si>
  <si>
    <t>P&amp;I Loan</t>
  </si>
  <si>
    <t>Financing</t>
  </si>
  <si>
    <t>Profit and Loss Position</t>
  </si>
  <si>
    <t>Profit / Loss</t>
  </si>
  <si>
    <t>Property Growth</t>
  </si>
  <si>
    <t>CPI</t>
  </si>
  <si>
    <t xml:space="preserve">Income </t>
  </si>
  <si>
    <t>Financing Costs</t>
  </si>
  <si>
    <t>Property Value</t>
  </si>
  <si>
    <t>Equity (Interest Only)</t>
  </si>
  <si>
    <t>Loan Balance (Interest only)</t>
  </si>
  <si>
    <t>Loan Balance (P&amp;I)</t>
  </si>
  <si>
    <t>Equity (P&amp;I)</t>
  </si>
  <si>
    <t>Cash Position</t>
  </si>
  <si>
    <r>
      <t xml:space="preserve"> P&amp;I Loan</t>
    </r>
    <r>
      <rPr>
        <sz val="9"/>
        <color indexed="9"/>
        <rFont val="Verdana"/>
        <family val="2"/>
      </rPr>
      <t xml:space="preserve"> (Ignoring Initial Cash required)</t>
    </r>
  </si>
  <si>
    <t>Longer Term-Years</t>
  </si>
  <si>
    <t>Initial Equity</t>
  </si>
  <si>
    <r>
      <t xml:space="preserve">Change in Equity </t>
    </r>
    <r>
      <rPr>
        <sz val="9"/>
        <color indexed="9"/>
        <rFont val="Verdana"/>
        <family val="2"/>
      </rPr>
      <t>(simple annual compound calcs used)</t>
    </r>
  </si>
  <si>
    <t>Loan Term (years)</t>
  </si>
  <si>
    <t>nb Profit and Loss for Interest Only = Cashflow</t>
  </si>
  <si>
    <t>Annual CashFlow</t>
  </si>
  <si>
    <t>Profit &amp; Loss (P&amp;I)</t>
  </si>
  <si>
    <t>Proift &amp; Loss (P&amp;I)</t>
  </si>
  <si>
    <t>Property Details</t>
  </si>
  <si>
    <t>Will my Property be CashFlow Positive? Is it still worthwhile? Can I afford or Do I want to fund the CashFlow?</t>
  </si>
  <si>
    <t>Value Add Repairs</t>
  </si>
  <si>
    <t>Non Value Add Repairs</t>
  </si>
  <si>
    <t>Setup</t>
  </si>
  <si>
    <r>
      <t>Interest Only Loan</t>
    </r>
    <r>
      <rPr>
        <sz val="9"/>
        <color indexed="9"/>
        <rFont val="Verdana"/>
        <family val="2"/>
      </rPr>
      <t xml:space="preserve">  (Ignoring Initial Cash required)</t>
    </r>
  </si>
  <si>
    <t>based on last 16 years historical growth for this unit</t>
  </si>
  <si>
    <t>current value</t>
  </si>
  <si>
    <t>current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</si>
</sst>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mmmm\ d\,\ yyyy"/>
    <numFmt numFmtId="166" formatCode="0.0%"/>
    <numFmt numFmtId="167" formatCode="&quot;$&quot;#,##0_);[Red]\(&quot;$&quot;#,##0\)"/>
    <numFmt numFmtId="168" formatCode="_-&quot;$&quot;* #,##0_-;\-&quot;$&quot;* #,##0_-;_-&quot;$&quot;* &quot;-&quot;??_-;_-@_-"/>
    <numFmt numFmtId="169" formatCode="_-* #,##0_-;\-* #,##0_-;_-* &quot;-&quot;??_-;_-@_-"/>
    <numFmt numFmtId="170" formatCode="&quot;$&quot;#,##0_);\(&quot;$&quot;#,##0\)"/>
    <numFmt numFmtId="171" formatCode="&quot;$&quot;#,##0.00;[Red]&quot;$&quot;#,##0.00"/>
  </numFmts>
  <fonts count="27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9"/>
      <color indexed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6"/>
      <color indexed="62"/>
      <name val="Verdana"/>
      <family val="2"/>
    </font>
    <font>
      <b/>
      <sz val="11"/>
      <color indexed="63"/>
      <name val="Verdana"/>
      <family val="2"/>
    </font>
    <font>
      <sz val="10"/>
      <color indexed="9"/>
      <name val="Arial"/>
      <family val="2"/>
    </font>
    <font>
      <b/>
      <sz val="32"/>
      <color indexed="9"/>
      <name val="Verdana"/>
      <family val="2"/>
    </font>
    <font>
      <sz val="10"/>
      <name val="Arial"/>
    </font>
    <font>
      <b/>
      <sz val="9"/>
      <name val="Verdana"/>
      <family val="2"/>
    </font>
    <font>
      <sz val="8"/>
      <name val="Tahoma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b/>
      <i/>
      <sz val="9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0"/>
      <color indexed="63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rgb="FFFFFF66"/>
        <bgColor indexed="62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22"/>
      </patternFill>
    </fill>
  </fills>
  <borders count="26">
    <border>
      <left/>
      <right/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/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 style="thin">
        <color indexed="62"/>
      </left>
      <right style="thin">
        <color indexed="48"/>
      </right>
      <top style="thin">
        <color indexed="62"/>
      </top>
      <bottom/>
      <diagonal/>
    </border>
    <border>
      <left style="thin">
        <color indexed="62"/>
      </left>
      <right style="thin">
        <color indexed="48"/>
      </right>
      <top/>
      <bottom/>
      <diagonal/>
    </border>
    <border>
      <left style="thin">
        <color indexed="62"/>
      </left>
      <right style="thin">
        <color indexed="48"/>
      </right>
      <top/>
      <bottom style="thin">
        <color indexed="62"/>
      </bottom>
      <diagonal/>
    </border>
    <border>
      <left/>
      <right/>
      <top style="thin">
        <color indexed="62"/>
      </top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1" xfId="0" applyNumberFormat="1" applyFont="1" applyFill="1" applyBorder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7" xfId="0" applyNumberFormat="1" applyFont="1" applyFill="1" applyBorder="1" applyAlignment="1" applyProtection="1"/>
    <xf numFmtId="0" fontId="2" fillId="2" borderId="0" xfId="0" applyFont="1" applyFill="1"/>
    <xf numFmtId="0" fontId="3" fillId="0" borderId="0" xfId="0" applyFont="1" applyBorder="1"/>
    <xf numFmtId="0" fontId="5" fillId="4" borderId="4" xfId="0" applyNumberFormat="1" applyFont="1" applyFill="1" applyBorder="1" applyAlignment="1" applyProtection="1"/>
    <xf numFmtId="0" fontId="8" fillId="3" borderId="2" xfId="0" applyNumberFormat="1" applyFont="1" applyFill="1" applyBorder="1" applyAlignment="1" applyProtection="1">
      <alignment vertical="center"/>
    </xf>
    <xf numFmtId="0" fontId="2" fillId="0" borderId="0" xfId="0" applyFont="1" applyFill="1"/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/>
    <xf numFmtId="0" fontId="7" fillId="3" borderId="9" xfId="0" applyNumberFormat="1" applyFont="1" applyFill="1" applyBorder="1" applyAlignment="1" applyProtection="1">
      <alignment vertical="center"/>
    </xf>
    <xf numFmtId="0" fontId="4" fillId="3" borderId="6" xfId="0" applyNumberFormat="1" applyFont="1" applyFill="1" applyBorder="1" applyAlignment="1" applyProtection="1">
      <alignment horizontal="right" vertical="center"/>
    </xf>
    <xf numFmtId="0" fontId="8" fillId="3" borderId="6" xfId="0" applyNumberFormat="1" applyFont="1" applyFill="1" applyBorder="1" applyAlignment="1" applyProtection="1">
      <alignment vertical="center"/>
    </xf>
    <xf numFmtId="0" fontId="8" fillId="3" borderId="9" xfId="0" applyNumberFormat="1" applyFont="1" applyFill="1" applyBorder="1" applyAlignment="1" applyProtection="1">
      <alignment vertical="center"/>
    </xf>
    <xf numFmtId="0" fontId="2" fillId="2" borderId="10" xfId="0" applyFont="1" applyFill="1" applyBorder="1"/>
    <xf numFmtId="0" fontId="0" fillId="2" borderId="10" xfId="0" applyFill="1" applyBorder="1" applyAlignment="1">
      <alignment vertical="center"/>
    </xf>
    <xf numFmtId="0" fontId="2" fillId="6" borderId="0" xfId="0" applyFont="1" applyFill="1"/>
    <xf numFmtId="165" fontId="13" fillId="2" borderId="10" xfId="0" applyNumberFormat="1" applyFont="1" applyFill="1" applyBorder="1" applyAlignment="1">
      <alignment horizontal="right" vertical="top"/>
    </xf>
    <xf numFmtId="167" fontId="2" fillId="2" borderId="0" xfId="0" applyNumberFormat="1" applyFont="1" applyFill="1"/>
    <xf numFmtId="167" fontId="2" fillId="0" borderId="0" xfId="0" applyNumberFormat="1" applyFont="1" applyBorder="1"/>
    <xf numFmtId="167" fontId="4" fillId="3" borderId="3" xfId="0" applyNumberFormat="1" applyFont="1" applyFill="1" applyBorder="1" applyAlignment="1" applyProtection="1">
      <alignment horizontal="right" vertical="center"/>
    </xf>
    <xf numFmtId="167" fontId="6" fillId="0" borderId="0" xfId="0" applyNumberFormat="1" applyFont="1" applyAlignment="1">
      <alignment horizontal="right"/>
    </xf>
    <xf numFmtId="167" fontId="12" fillId="5" borderId="8" xfId="0" applyNumberFormat="1" applyFont="1" applyFill="1" applyBorder="1" applyAlignment="1" applyProtection="1">
      <alignment horizontal="right" vertical="center"/>
    </xf>
    <xf numFmtId="167" fontId="2" fillId="0" borderId="0" xfId="0" applyNumberFormat="1" applyFont="1"/>
    <xf numFmtId="167" fontId="16" fillId="4" borderId="11" xfId="0" applyNumberFormat="1" applyFont="1" applyFill="1" applyBorder="1" applyAlignment="1" applyProtection="1"/>
    <xf numFmtId="167" fontId="12" fillId="5" borderId="2" xfId="0" applyNumberFormat="1" applyFont="1" applyFill="1" applyBorder="1" applyAlignment="1" applyProtection="1">
      <alignment horizontal="right" vertical="center"/>
    </xf>
    <xf numFmtId="166" fontId="12" fillId="7" borderId="0" xfId="2" applyNumberFormat="1" applyFont="1" applyFill="1" applyBorder="1" applyAlignment="1" applyProtection="1">
      <alignment horizontal="right" vertical="center"/>
    </xf>
    <xf numFmtId="167" fontId="5" fillId="0" borderId="5" xfId="0" applyNumberFormat="1" applyFont="1" applyFill="1" applyBorder="1" applyAlignment="1" applyProtection="1">
      <alignment horizontal="right"/>
    </xf>
    <xf numFmtId="0" fontId="14" fillId="2" borderId="10" xfId="0" applyFont="1" applyFill="1" applyBorder="1" applyAlignment="1">
      <alignment vertical="center"/>
    </xf>
    <xf numFmtId="9" fontId="5" fillId="8" borderId="5" xfId="2" applyFont="1" applyFill="1" applyBorder="1" applyAlignment="1" applyProtection="1">
      <alignment horizontal="right"/>
    </xf>
    <xf numFmtId="166" fontId="5" fillId="8" borderId="5" xfId="2" applyNumberFormat="1" applyFont="1" applyFill="1" applyBorder="1" applyAlignment="1" applyProtection="1">
      <alignment horizontal="right"/>
    </xf>
    <xf numFmtId="167" fontId="5" fillId="9" borderId="5" xfId="0" applyNumberFormat="1" applyFont="1" applyFill="1" applyBorder="1" applyAlignment="1" applyProtection="1">
      <alignment horizontal="right"/>
    </xf>
    <xf numFmtId="9" fontId="5" fillId="9" borderId="5" xfId="2" applyFont="1" applyFill="1" applyBorder="1" applyAlignment="1" applyProtection="1">
      <alignment horizontal="right"/>
    </xf>
    <xf numFmtId="166" fontId="5" fillId="9" borderId="5" xfId="2" applyNumberFormat="1" applyFont="1" applyFill="1" applyBorder="1" applyAlignment="1" applyProtection="1">
      <alignment horizontal="right"/>
    </xf>
    <xf numFmtId="166" fontId="16" fillId="0" borderId="5" xfId="2" applyNumberFormat="1" applyFont="1" applyFill="1" applyBorder="1" applyAlignment="1" applyProtection="1">
      <alignment horizontal="right"/>
    </xf>
    <xf numFmtId="0" fontId="17" fillId="0" borderId="0" xfId="0" applyFont="1"/>
    <xf numFmtId="0" fontId="2" fillId="2" borderId="10" xfId="0" applyFont="1" applyFill="1" applyBorder="1" applyAlignment="1"/>
    <xf numFmtId="0" fontId="7" fillId="3" borderId="2" xfId="0" applyNumberFormat="1" applyFont="1" applyFill="1" applyBorder="1" applyAlignment="1" applyProtection="1">
      <alignment vertical="center"/>
    </xf>
    <xf numFmtId="164" fontId="5" fillId="9" borderId="5" xfId="0" applyNumberFormat="1" applyFont="1" applyFill="1" applyBorder="1" applyAlignment="1" applyProtection="1">
      <alignment horizontal="right"/>
    </xf>
    <xf numFmtId="169" fontId="5" fillId="8" borderId="5" xfId="3" applyNumberFormat="1" applyFont="1" applyFill="1" applyBorder="1" applyAlignment="1" applyProtection="1">
      <alignment horizontal="right"/>
    </xf>
    <xf numFmtId="0" fontId="18" fillId="3" borderId="6" xfId="0" applyNumberFormat="1" applyFont="1" applyFill="1" applyBorder="1" applyAlignment="1" applyProtection="1">
      <alignment horizontal="right" vertical="center"/>
    </xf>
    <xf numFmtId="0" fontId="19" fillId="3" borderId="6" xfId="0" applyNumberFormat="1" applyFont="1" applyFill="1" applyBorder="1" applyAlignment="1" applyProtection="1">
      <alignment horizontal="center" vertical="center"/>
    </xf>
    <xf numFmtId="170" fontId="5" fillId="0" borderId="5" xfId="0" applyNumberFormat="1" applyFont="1" applyFill="1" applyBorder="1" applyAlignment="1" applyProtection="1">
      <alignment horizontal="right"/>
    </xf>
    <xf numFmtId="167" fontId="5" fillId="0" borderId="12" xfId="0" applyNumberFormat="1" applyFont="1" applyFill="1" applyBorder="1" applyAlignment="1" applyProtection="1">
      <alignment horizontal="right"/>
    </xf>
    <xf numFmtId="167" fontId="20" fillId="0" borderId="11" xfId="0" applyNumberFormat="1" applyFont="1" applyFill="1" applyBorder="1" applyAlignment="1" applyProtection="1">
      <alignment horizontal="right"/>
    </xf>
    <xf numFmtId="167" fontId="10" fillId="4" borderId="13" xfId="0" applyNumberFormat="1" applyFont="1" applyFill="1" applyBorder="1" applyAlignment="1" applyProtection="1">
      <alignment horizontal="right"/>
    </xf>
    <xf numFmtId="0" fontId="5" fillId="0" borderId="14" xfId="0" applyNumberFormat="1" applyFont="1" applyFill="1" applyBorder="1" applyAlignment="1" applyProtection="1"/>
    <xf numFmtId="0" fontId="5" fillId="4" borderId="15" xfId="0" applyNumberFormat="1" applyFont="1" applyFill="1" applyBorder="1" applyAlignment="1" applyProtection="1"/>
    <xf numFmtId="170" fontId="5" fillId="0" borderId="12" xfId="0" applyNumberFormat="1" applyFont="1" applyFill="1" applyBorder="1" applyAlignment="1" applyProtection="1">
      <alignment horizontal="right"/>
    </xf>
    <xf numFmtId="167" fontId="10" fillId="4" borderId="15" xfId="0" applyNumberFormat="1" applyFont="1" applyFill="1" applyBorder="1" applyAlignment="1" applyProtection="1">
      <alignment horizontal="right"/>
    </xf>
    <xf numFmtId="167" fontId="10" fillId="4" borderId="16" xfId="0" applyNumberFormat="1" applyFont="1" applyFill="1" applyBorder="1" applyAlignment="1" applyProtection="1">
      <alignment horizontal="right"/>
    </xf>
    <xf numFmtId="0" fontId="7" fillId="3" borderId="0" xfId="0" applyNumberFormat="1" applyFont="1" applyFill="1" applyBorder="1" applyAlignment="1" applyProtection="1">
      <alignment vertical="center"/>
    </xf>
    <xf numFmtId="167" fontId="5" fillId="0" borderId="0" xfId="0" applyNumberFormat="1" applyFont="1" applyFill="1" applyBorder="1" applyAlignment="1" applyProtection="1"/>
    <xf numFmtId="166" fontId="2" fillId="0" borderId="0" xfId="0" applyNumberFormat="1" applyFont="1"/>
    <xf numFmtId="170" fontId="5" fillId="0" borderId="18" xfId="0" applyNumberFormat="1" applyFont="1" applyFill="1" applyBorder="1" applyAlignment="1" applyProtection="1">
      <alignment horizontal="left"/>
    </xf>
    <xf numFmtId="170" fontId="5" fillId="0" borderId="18" xfId="0" applyNumberFormat="1" applyFont="1" applyFill="1" applyBorder="1" applyAlignment="1" applyProtection="1">
      <alignment horizontal="right"/>
    </xf>
    <xf numFmtId="168" fontId="5" fillId="0" borderId="0" xfId="1" applyNumberFormat="1" applyFont="1" applyFill="1" applyBorder="1" applyAlignment="1" applyProtection="1"/>
    <xf numFmtId="0" fontId="18" fillId="3" borderId="6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/>
    <xf numFmtId="170" fontId="5" fillId="0" borderId="0" xfId="0" applyNumberFormat="1" applyFont="1" applyFill="1" applyBorder="1" applyAlignment="1" applyProtection="1">
      <alignment horizontal="left"/>
    </xf>
    <xf numFmtId="170" fontId="5" fillId="0" borderId="0" xfId="0" applyNumberFormat="1" applyFont="1" applyFill="1" applyBorder="1" applyAlignment="1" applyProtection="1">
      <alignment horizontal="right"/>
    </xf>
    <xf numFmtId="0" fontId="5" fillId="0" borderId="19" xfId="0" applyNumberFormat="1" applyFont="1" applyFill="1" applyBorder="1" applyAlignment="1" applyProtection="1"/>
    <xf numFmtId="0" fontId="5" fillId="0" borderId="20" xfId="0" applyNumberFormat="1" applyFont="1" applyFill="1" applyBorder="1" applyAlignment="1" applyProtection="1"/>
    <xf numFmtId="0" fontId="5" fillId="0" borderId="21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/>
    <xf numFmtId="167" fontId="5" fillId="0" borderId="17" xfId="0" applyNumberFormat="1" applyFont="1" applyFill="1" applyBorder="1" applyAlignment="1" applyProtection="1"/>
    <xf numFmtId="0" fontId="22" fillId="0" borderId="0" xfId="0" applyFont="1"/>
    <xf numFmtId="0" fontId="20" fillId="0" borderId="1" xfId="0" applyNumberFormat="1" applyFont="1" applyFill="1" applyBorder="1" applyAlignment="1" applyProtection="1"/>
    <xf numFmtId="167" fontId="18" fillId="3" borderId="3" xfId="0" applyNumberFormat="1" applyFont="1" applyFill="1" applyBorder="1" applyAlignment="1" applyProtection="1">
      <alignment horizontal="right" vertical="center"/>
    </xf>
    <xf numFmtId="167" fontId="9" fillId="4" borderId="16" xfId="0" applyNumberFormat="1" applyFont="1" applyFill="1" applyBorder="1" applyAlignment="1" applyProtection="1">
      <alignment horizontal="right"/>
    </xf>
    <xf numFmtId="167" fontId="9" fillId="4" borderId="15" xfId="0" applyNumberFormat="1" applyFont="1" applyFill="1" applyBorder="1" applyAlignment="1" applyProtection="1">
      <alignment horizontal="right"/>
    </xf>
    <xf numFmtId="170" fontId="2" fillId="0" borderId="0" xfId="0" applyNumberFormat="1" applyFont="1"/>
    <xf numFmtId="167" fontId="9" fillId="0" borderId="0" xfId="0" applyNumberFormat="1" applyFont="1" applyFill="1" applyBorder="1" applyAlignment="1" applyProtection="1">
      <alignment horizontal="right"/>
    </xf>
    <xf numFmtId="0" fontId="5" fillId="0" borderId="22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 vertical="center"/>
    </xf>
    <xf numFmtId="0" fontId="7" fillId="0" borderId="6" xfId="0" applyNumberFormat="1" applyFont="1" applyFill="1" applyBorder="1" applyAlignment="1" applyProtection="1">
      <alignment vertical="center"/>
    </xf>
    <xf numFmtId="0" fontId="7" fillId="10" borderId="1" xfId="0" applyNumberFormat="1" applyFont="1" applyFill="1" applyBorder="1" applyAlignment="1" applyProtection="1">
      <alignment vertical="center"/>
    </xf>
    <xf numFmtId="0" fontId="18" fillId="10" borderId="0" xfId="0" applyNumberFormat="1" applyFont="1" applyFill="1" applyBorder="1" applyAlignment="1" applyProtection="1">
      <alignment horizontal="center" vertical="center"/>
    </xf>
    <xf numFmtId="0" fontId="16" fillId="4" borderId="23" xfId="0" applyNumberFormat="1" applyFont="1" applyFill="1" applyBorder="1" applyAlignment="1" applyProtection="1"/>
    <xf numFmtId="168" fontId="24" fillId="7" borderId="24" xfId="1" applyNumberFormat="1" applyFont="1" applyFill="1" applyBorder="1" applyAlignment="1" applyProtection="1">
      <alignment horizontal="right" vertical="center"/>
    </xf>
    <xf numFmtId="168" fontId="24" fillId="7" borderId="25" xfId="1" applyNumberFormat="1" applyFont="1" applyFill="1" applyBorder="1" applyAlignment="1" applyProtection="1">
      <alignment horizontal="right" vertical="center"/>
    </xf>
    <xf numFmtId="10" fontId="5" fillId="8" borderId="5" xfId="2" applyNumberFormat="1" applyFont="1" applyFill="1" applyBorder="1" applyAlignment="1" applyProtection="1">
      <alignment horizontal="right"/>
    </xf>
    <xf numFmtId="171" fontId="2" fillId="0" borderId="0" xfId="0" applyNumberFormat="1" applyFont="1"/>
    <xf numFmtId="0" fontId="7" fillId="6" borderId="0" xfId="0" applyFont="1" applyFill="1" applyAlignment="1">
      <alignment horizontal="left" vertical="center"/>
    </xf>
    <xf numFmtId="0" fontId="23" fillId="6" borderId="0" xfId="0" applyFont="1" applyFill="1" applyAlignment="1">
      <alignment horizontal="left" vertical="center"/>
    </xf>
    <xf numFmtId="168" fontId="2" fillId="0" borderId="0" xfId="1" applyNumberFormat="1" applyFo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44"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FFFF66"/>
      <color rgb="FF3144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I97"/>
  <sheetViews>
    <sheetView showGridLines="0"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C32" sqref="C32"/>
    </sheetView>
  </sheetViews>
  <sheetFormatPr defaultColWidth="9.140625" defaultRowHeight="12.75" x14ac:dyDescent="0.2"/>
  <cols>
    <col min="1" max="1" width="1.85546875" style="1" customWidth="1"/>
    <col min="2" max="2" width="24.140625" style="1" customWidth="1"/>
    <col min="3" max="3" width="16.5703125" style="1" customWidth="1"/>
    <col min="4" max="4" width="15" style="1" customWidth="1"/>
    <col min="5" max="5" width="15" style="27" customWidth="1"/>
    <col min="6" max="6" width="15" style="1" customWidth="1"/>
    <col min="7" max="9" width="15.5703125" style="1" customWidth="1"/>
    <col min="10" max="16384" width="9.140625" style="1"/>
  </cols>
  <sheetData>
    <row r="1" spans="1:9" ht="45" customHeight="1" thickBot="1" x14ac:dyDescent="0.25">
      <c r="A1" s="40"/>
      <c r="B1" s="32" t="s">
        <v>1</v>
      </c>
      <c r="C1" s="21"/>
      <c r="D1" s="21"/>
      <c r="E1" s="21"/>
      <c r="F1" s="21"/>
      <c r="G1" s="21"/>
      <c r="H1" s="19"/>
      <c r="I1" s="18"/>
    </row>
    <row r="2" spans="1:9" ht="22.5" customHeight="1" x14ac:dyDescent="0.2">
      <c r="A2" s="20"/>
      <c r="B2" s="87" t="s">
        <v>60</v>
      </c>
      <c r="C2" s="87"/>
      <c r="D2" s="88"/>
      <c r="E2" s="88"/>
      <c r="F2" s="88"/>
      <c r="G2" s="88"/>
      <c r="H2" s="88"/>
      <c r="I2" s="88"/>
    </row>
    <row r="3" spans="1:9" ht="8.1" customHeight="1" thickBot="1" x14ac:dyDescent="0.25">
      <c r="B3" s="12"/>
      <c r="C3" s="12"/>
      <c r="D3" s="2"/>
      <c r="E3" s="23"/>
      <c r="F3" s="8"/>
      <c r="G3" s="2"/>
      <c r="H3" s="2"/>
      <c r="I3" s="8"/>
    </row>
    <row r="4" spans="1:9" ht="17.100000000000001" customHeight="1" x14ac:dyDescent="0.2">
      <c r="B4" s="41" t="s">
        <v>63</v>
      </c>
      <c r="C4" s="16"/>
      <c r="E4" s="1"/>
    </row>
    <row r="5" spans="1:9" x14ac:dyDescent="0.2">
      <c r="B5" s="65" t="s">
        <v>5</v>
      </c>
      <c r="C5" s="33">
        <v>0.8</v>
      </c>
      <c r="E5" s="1"/>
    </row>
    <row r="6" spans="1:9" x14ac:dyDescent="0.2">
      <c r="B6" s="66" t="s">
        <v>6</v>
      </c>
      <c r="C6" s="34">
        <v>0.02</v>
      </c>
      <c r="D6" s="39"/>
      <c r="E6" s="1"/>
    </row>
    <row r="7" spans="1:9" x14ac:dyDescent="0.2">
      <c r="B7" s="66" t="s">
        <v>7</v>
      </c>
      <c r="C7" s="34">
        <v>5.7000000000000002E-2</v>
      </c>
      <c r="E7" s="1"/>
    </row>
    <row r="8" spans="1:9" x14ac:dyDescent="0.2">
      <c r="B8" s="66" t="s">
        <v>24</v>
      </c>
      <c r="C8" s="34">
        <v>0.15</v>
      </c>
      <c r="E8" s="1"/>
    </row>
    <row r="9" spans="1:9" x14ac:dyDescent="0.2">
      <c r="A9" s="2"/>
      <c r="B9" s="66" t="s">
        <v>54</v>
      </c>
      <c r="C9" s="43">
        <v>20</v>
      </c>
      <c r="E9" s="1"/>
    </row>
    <row r="10" spans="1:9" x14ac:dyDescent="0.2">
      <c r="A10" s="2"/>
      <c r="B10" s="66" t="s">
        <v>41</v>
      </c>
      <c r="C10" s="34">
        <v>2.5000000000000001E-2</v>
      </c>
      <c r="E10" s="1"/>
    </row>
    <row r="11" spans="1:9" x14ac:dyDescent="0.2">
      <c r="A11" s="2"/>
      <c r="B11" s="67" t="s">
        <v>40</v>
      </c>
      <c r="C11" s="34">
        <v>0.01</v>
      </c>
      <c r="E11" s="1"/>
    </row>
    <row r="12" spans="1:9" ht="13.5" thickBot="1" x14ac:dyDescent="0.25">
      <c r="B12" s="4"/>
      <c r="C12" s="4"/>
      <c r="E12" s="1"/>
    </row>
    <row r="13" spans="1:9" ht="14.25" x14ac:dyDescent="0.2">
      <c r="B13" s="41" t="s">
        <v>59</v>
      </c>
      <c r="C13" s="16"/>
      <c r="E13" s="1"/>
    </row>
    <row r="14" spans="1:9" x14ac:dyDescent="0.2">
      <c r="B14" s="3" t="s">
        <v>3</v>
      </c>
      <c r="C14" s="35">
        <v>117000</v>
      </c>
      <c r="E14" s="1"/>
    </row>
    <row r="15" spans="1:9" x14ac:dyDescent="0.2">
      <c r="B15" s="3" t="s">
        <v>8</v>
      </c>
      <c r="C15" s="31">
        <f>C6*C14</f>
        <v>2340</v>
      </c>
      <c r="E15" s="1"/>
    </row>
    <row r="16" spans="1:9" x14ac:dyDescent="0.2">
      <c r="B16" s="3" t="s">
        <v>62</v>
      </c>
      <c r="C16" s="35">
        <v>0</v>
      </c>
      <c r="E16" s="1"/>
    </row>
    <row r="17" spans="2:5" x14ac:dyDescent="0.2">
      <c r="B17" s="3" t="s">
        <v>61</v>
      </c>
      <c r="C17" s="35">
        <v>0</v>
      </c>
      <c r="E17" s="1"/>
    </row>
    <row r="18" spans="2:5" x14ac:dyDescent="0.2">
      <c r="B18" s="3" t="s">
        <v>32</v>
      </c>
      <c r="C18" s="35"/>
      <c r="E18" s="1"/>
    </row>
    <row r="19" spans="2:5" ht="13.5" thickBot="1" x14ac:dyDescent="0.25">
      <c r="B19" s="3" t="s">
        <v>2</v>
      </c>
      <c r="C19" s="47">
        <f>C14*C5</f>
        <v>93600</v>
      </c>
      <c r="E19" s="1"/>
    </row>
    <row r="20" spans="2:5" ht="13.5" thickBot="1" x14ac:dyDescent="0.25">
      <c r="B20" s="71" t="s">
        <v>9</v>
      </c>
      <c r="C20" s="48">
        <f>SUM(C14:C18)-C19</f>
        <v>25740</v>
      </c>
      <c r="D20" s="39"/>
      <c r="E20" s="1"/>
    </row>
    <row r="21" spans="2:5" ht="13.5" thickBot="1" x14ac:dyDescent="0.25">
      <c r="B21" s="3"/>
      <c r="C21" s="13"/>
      <c r="E21" s="1"/>
    </row>
    <row r="22" spans="2:5" ht="13.5" thickBot="1" x14ac:dyDescent="0.25">
      <c r="B22" s="9" t="s">
        <v>0</v>
      </c>
      <c r="C22" s="28">
        <f>SUM(C14:C18)</f>
        <v>119340</v>
      </c>
      <c r="E22" s="1"/>
    </row>
    <row r="23" spans="2:5" ht="13.5" thickBot="1" x14ac:dyDescent="0.25">
      <c r="B23" s="4"/>
      <c r="C23" s="4"/>
      <c r="E23" s="1"/>
    </row>
    <row r="24" spans="2:5" ht="14.25" x14ac:dyDescent="0.2">
      <c r="B24" s="41" t="s">
        <v>33</v>
      </c>
      <c r="C24" s="16"/>
      <c r="E24" s="1"/>
    </row>
    <row r="25" spans="2:5" x14ac:dyDescent="0.2">
      <c r="B25" s="3" t="s">
        <v>10</v>
      </c>
      <c r="C25" s="35">
        <v>220</v>
      </c>
      <c r="E25" s="1"/>
    </row>
    <row r="26" spans="2:5" x14ac:dyDescent="0.2">
      <c r="B26" s="3" t="s">
        <v>12</v>
      </c>
      <c r="C26" s="38">
        <f>(+C25*52)/C14</f>
        <v>9.7777777777777783E-2</v>
      </c>
      <c r="D26" s="39"/>
      <c r="E26" s="1"/>
    </row>
    <row r="27" spans="2:5" ht="13.5" thickBot="1" x14ac:dyDescent="0.25">
      <c r="B27" s="3" t="s">
        <v>11</v>
      </c>
      <c r="C27" s="36">
        <v>0.96</v>
      </c>
      <c r="D27" s="39"/>
      <c r="E27" s="1"/>
    </row>
    <row r="28" spans="2:5" ht="13.5" thickBot="1" x14ac:dyDescent="0.25">
      <c r="B28" s="9" t="s">
        <v>0</v>
      </c>
      <c r="C28" s="28">
        <f>+C25*52*C27</f>
        <v>10982.4</v>
      </c>
      <c r="E28" s="1"/>
    </row>
    <row r="29" spans="2:5" ht="13.5" thickBot="1" x14ac:dyDescent="0.25">
      <c r="B29" s="4"/>
      <c r="C29" s="4"/>
    </row>
    <row r="30" spans="2:5" ht="14.25" x14ac:dyDescent="0.2">
      <c r="B30" s="41" t="s">
        <v>14</v>
      </c>
      <c r="C30" s="16"/>
    </row>
    <row r="31" spans="2:5" x14ac:dyDescent="0.2">
      <c r="B31" s="6" t="s">
        <v>17</v>
      </c>
      <c r="C31" s="35">
        <v>500</v>
      </c>
    </row>
    <row r="32" spans="2:5" x14ac:dyDescent="0.2">
      <c r="B32" s="3" t="s">
        <v>18</v>
      </c>
      <c r="C32" s="35">
        <v>2000</v>
      </c>
    </row>
    <row r="33" spans="2:5" x14ac:dyDescent="0.2">
      <c r="B33" s="3" t="s">
        <v>19</v>
      </c>
      <c r="C33" s="35">
        <v>0</v>
      </c>
    </row>
    <row r="34" spans="2:5" x14ac:dyDescent="0.2">
      <c r="B34" s="3" t="s">
        <v>20</v>
      </c>
      <c r="C34" s="35">
        <v>0</v>
      </c>
    </row>
    <row r="35" spans="2:5" x14ac:dyDescent="0.2">
      <c r="B35" s="3" t="s">
        <v>21</v>
      </c>
      <c r="C35" s="35">
        <v>1000</v>
      </c>
    </row>
    <row r="36" spans="2:5" x14ac:dyDescent="0.2">
      <c r="B36" s="3" t="s">
        <v>25</v>
      </c>
      <c r="C36" s="35">
        <v>0</v>
      </c>
    </row>
    <row r="37" spans="2:5" x14ac:dyDescent="0.2">
      <c r="B37" s="3" t="s">
        <v>34</v>
      </c>
      <c r="C37" s="37">
        <v>8.5000000000000006E-2</v>
      </c>
    </row>
    <row r="38" spans="2:5" x14ac:dyDescent="0.2">
      <c r="B38" s="3" t="s">
        <v>23</v>
      </c>
      <c r="C38" s="31">
        <f>(C25*C27*52)*C37</f>
        <v>933.50400000000002</v>
      </c>
    </row>
    <row r="39" spans="2:5" x14ac:dyDescent="0.2">
      <c r="B39" s="3" t="s">
        <v>22</v>
      </c>
      <c r="C39" s="47">
        <f>+C38*C8</f>
        <v>140.0256</v>
      </c>
    </row>
    <row r="40" spans="2:5" x14ac:dyDescent="0.2">
      <c r="B40" s="9" t="s">
        <v>0</v>
      </c>
      <c r="C40" s="49">
        <f>SUM(C31:C39)</f>
        <v>4573.6145999999999</v>
      </c>
    </row>
    <row r="41" spans="2:5" ht="13.5" thickBot="1" x14ac:dyDescent="0.25">
      <c r="B41" s="4"/>
      <c r="C41" s="4"/>
      <c r="D41" s="5"/>
      <c r="E41" s="25"/>
    </row>
    <row r="42" spans="2:5" ht="14.25" x14ac:dyDescent="0.2">
      <c r="B42" s="41" t="s">
        <v>13</v>
      </c>
      <c r="C42" s="10"/>
      <c r="D42" s="45" t="s">
        <v>35</v>
      </c>
      <c r="E42" s="45" t="s">
        <v>36</v>
      </c>
    </row>
    <row r="43" spans="2:5" x14ac:dyDescent="0.2">
      <c r="B43" s="50" t="s">
        <v>15</v>
      </c>
      <c r="D43" s="31">
        <f>+C19*C7</f>
        <v>5335.2</v>
      </c>
      <c r="E43" s="31">
        <f>-PMT(C7/12,C9*12,C19)*12</f>
        <v>7853.7749970717095</v>
      </c>
    </row>
    <row r="44" spans="2:5" x14ac:dyDescent="0.2">
      <c r="B44" s="13" t="s">
        <v>16</v>
      </c>
      <c r="C44" s="42">
        <v>300</v>
      </c>
      <c r="E44" s="1"/>
    </row>
    <row r="45" spans="2:5" ht="13.5" thickBot="1" x14ac:dyDescent="0.25">
      <c r="E45" s="1"/>
    </row>
    <row r="46" spans="2:5" ht="14.25" x14ac:dyDescent="0.2">
      <c r="B46" s="41" t="s">
        <v>38</v>
      </c>
      <c r="C46" s="16"/>
      <c r="D46" s="15"/>
      <c r="E46" s="1"/>
    </row>
    <row r="47" spans="2:5" x14ac:dyDescent="0.2">
      <c r="B47" s="6" t="s">
        <v>4</v>
      </c>
      <c r="C47" s="13"/>
      <c r="D47" s="31">
        <f>+C28</f>
        <v>10982.4</v>
      </c>
      <c r="E47" s="1"/>
    </row>
    <row r="48" spans="2:5" x14ac:dyDescent="0.2">
      <c r="B48" s="3" t="s">
        <v>14</v>
      </c>
      <c r="C48" s="13"/>
      <c r="D48" s="46">
        <f>-C40</f>
        <v>-4573.6145999999999</v>
      </c>
      <c r="E48" s="1"/>
    </row>
    <row r="49" spans="2:9" x14ac:dyDescent="0.2">
      <c r="B49" s="3" t="s">
        <v>37</v>
      </c>
      <c r="C49" s="13"/>
      <c r="D49" s="52">
        <f>-C44-D43</f>
        <v>-5635.2</v>
      </c>
      <c r="E49" s="1"/>
    </row>
    <row r="50" spans="2:9" x14ac:dyDescent="0.2">
      <c r="B50" s="9" t="s">
        <v>39</v>
      </c>
      <c r="C50" s="51"/>
      <c r="D50" s="54">
        <f>SUM(D47:D49)</f>
        <v>773.58539999999994</v>
      </c>
      <c r="E50" s="1"/>
    </row>
    <row r="51" spans="2:9" ht="13.5" thickBot="1" x14ac:dyDescent="0.25">
      <c r="B51" s="4"/>
      <c r="C51" s="4"/>
      <c r="D51" s="5"/>
      <c r="E51" s="25"/>
    </row>
    <row r="52" spans="2:9" ht="14.25" x14ac:dyDescent="0.2">
      <c r="B52" s="41" t="s">
        <v>26</v>
      </c>
      <c r="C52" s="16"/>
      <c r="D52" s="15" t="str">
        <f>+D42</f>
        <v>Interest Only</v>
      </c>
      <c r="E52" s="15" t="str">
        <f>+E42</f>
        <v>P&amp;I Loan</v>
      </c>
    </row>
    <row r="53" spans="2:9" x14ac:dyDescent="0.2">
      <c r="B53" s="6" t="s">
        <v>4</v>
      </c>
      <c r="C53" s="13"/>
      <c r="D53" s="31">
        <f>+D47</f>
        <v>10982.4</v>
      </c>
      <c r="E53" s="31">
        <f>+C28</f>
        <v>10982.4</v>
      </c>
    </row>
    <row r="54" spans="2:9" x14ac:dyDescent="0.2">
      <c r="B54" s="3" t="s">
        <v>14</v>
      </c>
      <c r="C54" s="13"/>
      <c r="D54" s="46">
        <f>+D48</f>
        <v>-4573.6145999999999</v>
      </c>
      <c r="E54" s="46">
        <f>-C40</f>
        <v>-4573.6145999999999</v>
      </c>
    </row>
    <row r="55" spans="2:9" x14ac:dyDescent="0.2">
      <c r="B55" s="3" t="s">
        <v>37</v>
      </c>
      <c r="C55" s="13"/>
      <c r="D55" s="52">
        <f>+D49</f>
        <v>-5635.2</v>
      </c>
      <c r="E55" s="52">
        <f>-E43-C44</f>
        <v>-8153.7749970717095</v>
      </c>
    </row>
    <row r="56" spans="2:9" x14ac:dyDescent="0.2">
      <c r="B56" s="9" t="s">
        <v>56</v>
      </c>
      <c r="C56" s="51"/>
      <c r="D56" s="53">
        <f>SUM(D53:D55)</f>
        <v>773.58539999999994</v>
      </c>
      <c r="E56" s="54">
        <f>SUM(E53:E55)</f>
        <v>-1744.9895970717098</v>
      </c>
    </row>
    <row r="57" spans="2:9" ht="13.5" thickBot="1" x14ac:dyDescent="0.25">
      <c r="B57" s="4"/>
      <c r="C57" s="4"/>
      <c r="D57" s="5"/>
      <c r="E57" s="25"/>
    </row>
    <row r="58" spans="2:9" ht="15" thickBot="1" x14ac:dyDescent="0.25">
      <c r="B58" s="14" t="s">
        <v>27</v>
      </c>
      <c r="C58" s="15" t="s">
        <v>29</v>
      </c>
      <c r="D58" s="24" t="s">
        <v>30</v>
      </c>
      <c r="E58" s="24" t="s">
        <v>30</v>
      </c>
    </row>
    <row r="59" spans="2:9" ht="15" thickBot="1" x14ac:dyDescent="0.25">
      <c r="B59" s="55"/>
      <c r="C59" s="15"/>
      <c r="D59" s="72" t="str">
        <f>+D52</f>
        <v>Interest Only</v>
      </c>
      <c r="E59" s="72" t="str">
        <f>+E52</f>
        <v>P&amp;I Loan</v>
      </c>
    </row>
    <row r="60" spans="2:9" ht="21" customHeight="1" x14ac:dyDescent="0.2">
      <c r="B60" s="13" t="s">
        <v>28</v>
      </c>
      <c r="C60" s="29">
        <f>C20</f>
        <v>25740</v>
      </c>
      <c r="D60" s="26">
        <f>+D56</f>
        <v>773.58539999999994</v>
      </c>
      <c r="E60" s="26">
        <f>E56</f>
        <v>-1744.9895970717098</v>
      </c>
    </row>
    <row r="61" spans="2:9" ht="19.5" customHeight="1" x14ac:dyDescent="0.2">
      <c r="B61" s="13" t="s">
        <v>31</v>
      </c>
      <c r="C61" s="13"/>
      <c r="D61" s="30">
        <f>D60/C60</f>
        <v>3.0053822843822842E-2</v>
      </c>
      <c r="E61" s="30">
        <f>E60/C60</f>
        <v>-6.7792913639149563E-2</v>
      </c>
    </row>
    <row r="62" spans="2:9" ht="21" customHeight="1" thickBot="1" x14ac:dyDescent="0.25">
      <c r="B62" s="13"/>
      <c r="C62" s="13"/>
      <c r="D62" s="13"/>
      <c r="E62" s="13"/>
    </row>
    <row r="63" spans="2:9" ht="21" customHeight="1" thickBot="1" x14ac:dyDescent="0.25">
      <c r="B63" s="14" t="s">
        <v>51</v>
      </c>
      <c r="C63" s="44">
        <v>1</v>
      </c>
      <c r="D63" s="44">
        <f t="shared" ref="D63:I63" si="0">+C63+1</f>
        <v>2</v>
      </c>
      <c r="E63" s="44">
        <f t="shared" si="0"/>
        <v>3</v>
      </c>
      <c r="F63" s="44">
        <f t="shared" si="0"/>
        <v>4</v>
      </c>
      <c r="G63" s="44">
        <f t="shared" si="0"/>
        <v>5</v>
      </c>
      <c r="H63" s="44">
        <f t="shared" si="0"/>
        <v>6</v>
      </c>
      <c r="I63" s="44">
        <f t="shared" si="0"/>
        <v>7</v>
      </c>
    </row>
    <row r="64" spans="2:9" s="11" customFormat="1" ht="6" customHeight="1" x14ac:dyDescent="0.2">
      <c r="B64" s="79"/>
      <c r="C64" s="78"/>
      <c r="D64" s="78"/>
      <c r="E64" s="78"/>
      <c r="F64" s="78"/>
      <c r="G64" s="78"/>
      <c r="H64" s="78"/>
      <c r="I64" s="78"/>
    </row>
    <row r="65" spans="2:9" ht="14.25" customHeight="1" x14ac:dyDescent="0.2">
      <c r="B65" s="80" t="s">
        <v>64</v>
      </c>
      <c r="C65" s="81"/>
      <c r="D65" s="81"/>
      <c r="E65" s="81"/>
      <c r="F65" s="81"/>
      <c r="G65" s="81"/>
      <c r="H65" s="81"/>
      <c r="I65" s="81"/>
    </row>
    <row r="66" spans="2:9" ht="14.25" customHeight="1" x14ac:dyDescent="0.2">
      <c r="B66" s="13" t="s">
        <v>42</v>
      </c>
      <c r="C66" s="27">
        <f>+C28</f>
        <v>10982.4</v>
      </c>
      <c r="D66" s="56">
        <f t="shared" ref="D66:I66" si="1">$C$28*(1+$C$10)^(D$63-$C$63)</f>
        <v>11256.96</v>
      </c>
      <c r="E66" s="56">
        <f t="shared" si="1"/>
        <v>11538.383999999998</v>
      </c>
      <c r="F66" s="56">
        <f t="shared" si="1"/>
        <v>11826.843599999998</v>
      </c>
      <c r="G66" s="56">
        <f t="shared" si="1"/>
        <v>12122.514689999996</v>
      </c>
      <c r="H66" s="56">
        <f t="shared" si="1"/>
        <v>12425.577557249995</v>
      </c>
      <c r="I66" s="56">
        <f t="shared" si="1"/>
        <v>12736.216996181245</v>
      </c>
    </row>
    <row r="67" spans="2:9" ht="14.25" customHeight="1" x14ac:dyDescent="0.2">
      <c r="B67" s="13" t="s">
        <v>14</v>
      </c>
      <c r="C67" s="56">
        <f>-C40</f>
        <v>-4573.6145999999999</v>
      </c>
      <c r="D67" s="56">
        <f t="shared" ref="D67:I67" si="2">-$C$40*(1+$C$10)^(D$63-$C$63)</f>
        <v>-4687.9549649999999</v>
      </c>
      <c r="E67" s="56">
        <f t="shared" si="2"/>
        <v>-4805.1538391249996</v>
      </c>
      <c r="F67" s="56">
        <f t="shared" si="2"/>
        <v>-4925.2826851031241</v>
      </c>
      <c r="G67" s="56">
        <f t="shared" si="2"/>
        <v>-5048.4147522307021</v>
      </c>
      <c r="H67" s="56">
        <f t="shared" si="2"/>
        <v>-5174.625121036469</v>
      </c>
      <c r="I67" s="56">
        <f t="shared" si="2"/>
        <v>-5303.99074906238</v>
      </c>
    </row>
    <row r="68" spans="2:9" ht="14.25" customHeight="1" x14ac:dyDescent="0.2">
      <c r="B68" s="13" t="s">
        <v>43</v>
      </c>
      <c r="C68" s="56">
        <f>+$D$49</f>
        <v>-5635.2</v>
      </c>
      <c r="D68" s="56">
        <f t="shared" ref="D68:I68" si="3">+$D$49</f>
        <v>-5635.2</v>
      </c>
      <c r="E68" s="56">
        <f t="shared" si="3"/>
        <v>-5635.2</v>
      </c>
      <c r="F68" s="56">
        <f t="shared" si="3"/>
        <v>-5635.2</v>
      </c>
      <c r="G68" s="56">
        <f t="shared" si="3"/>
        <v>-5635.2</v>
      </c>
      <c r="H68" s="56">
        <f t="shared" si="3"/>
        <v>-5635.2</v>
      </c>
      <c r="I68" s="56">
        <f t="shared" si="3"/>
        <v>-5635.2</v>
      </c>
    </row>
    <row r="69" spans="2:9" ht="14.25" customHeight="1" x14ac:dyDescent="0.2">
      <c r="B69" s="82" t="s">
        <v>26</v>
      </c>
      <c r="C69" s="83">
        <f>SUM(C66:C68)</f>
        <v>773.58539999999994</v>
      </c>
      <c r="D69" s="83">
        <f t="shared" ref="D69:I69" si="4">SUM(D66:D68)</f>
        <v>933.80503499999941</v>
      </c>
      <c r="E69" s="83">
        <f t="shared" si="4"/>
        <v>1098.0301608749987</v>
      </c>
      <c r="F69" s="83">
        <f t="shared" si="4"/>
        <v>1266.3609148968744</v>
      </c>
      <c r="G69" s="83">
        <f t="shared" si="4"/>
        <v>1438.8999377692944</v>
      </c>
      <c r="H69" s="83">
        <f t="shared" si="4"/>
        <v>1615.7524362135264</v>
      </c>
      <c r="I69" s="84">
        <f t="shared" si="4"/>
        <v>1797.0262471188653</v>
      </c>
    </row>
    <row r="70" spans="2:9" s="62" customFormat="1" ht="15" customHeight="1" x14ac:dyDescent="0.15">
      <c r="B70" s="62" t="s">
        <v>55</v>
      </c>
    </row>
    <row r="71" spans="2:9" s="62" customFormat="1" ht="9.75" customHeight="1" x14ac:dyDescent="0.15"/>
    <row r="72" spans="2:9" ht="14.25" customHeight="1" thickBot="1" x14ac:dyDescent="0.25">
      <c r="B72" s="80" t="s">
        <v>50</v>
      </c>
      <c r="C72" s="81"/>
      <c r="D72" s="81"/>
      <c r="E72" s="81"/>
      <c r="F72" s="81"/>
      <c r="G72" s="81"/>
      <c r="H72" s="81"/>
      <c r="I72" s="81"/>
    </row>
    <row r="73" spans="2:9" s="11" customFormat="1" ht="15" customHeight="1" x14ac:dyDescent="0.2">
      <c r="B73" s="17" t="s">
        <v>49</v>
      </c>
      <c r="C73" s="60"/>
      <c r="D73" s="60"/>
      <c r="E73" s="60"/>
      <c r="F73" s="60"/>
      <c r="G73" s="60"/>
      <c r="H73" s="60"/>
      <c r="I73" s="60"/>
    </row>
    <row r="74" spans="2:9" ht="14.25" customHeight="1" x14ac:dyDescent="0.2">
      <c r="B74" s="13" t="s">
        <v>42</v>
      </c>
      <c r="C74" s="27">
        <f>+C28</f>
        <v>10982.4</v>
      </c>
      <c r="D74" s="56">
        <f t="shared" ref="D74:I74" si="5">$C$28*(1+$C$10)^(D$63-$C$63)</f>
        <v>11256.96</v>
      </c>
      <c r="E74" s="56">
        <f t="shared" si="5"/>
        <v>11538.383999999998</v>
      </c>
      <c r="F74" s="56">
        <f t="shared" si="5"/>
        <v>11826.843599999998</v>
      </c>
      <c r="G74" s="56">
        <f t="shared" si="5"/>
        <v>12122.514689999996</v>
      </c>
      <c r="H74" s="56">
        <f t="shared" si="5"/>
        <v>12425.577557249995</v>
      </c>
      <c r="I74" s="56">
        <f t="shared" si="5"/>
        <v>12736.216996181245</v>
      </c>
    </row>
    <row r="75" spans="2:9" ht="14.25" customHeight="1" x14ac:dyDescent="0.2">
      <c r="B75" s="13" t="s">
        <v>14</v>
      </c>
      <c r="C75" s="56">
        <f>-C40</f>
        <v>-4573.6145999999999</v>
      </c>
      <c r="D75" s="56">
        <f t="shared" ref="D75:I75" si="6">-$C$40*(1+$C$10)^(D$63-$C$63)</f>
        <v>-4687.9549649999999</v>
      </c>
      <c r="E75" s="56">
        <f t="shared" si="6"/>
        <v>-4805.1538391249996</v>
      </c>
      <c r="F75" s="56">
        <f t="shared" si="6"/>
        <v>-4925.2826851031241</v>
      </c>
      <c r="G75" s="56">
        <f t="shared" si="6"/>
        <v>-5048.4147522307021</v>
      </c>
      <c r="H75" s="56">
        <f t="shared" si="6"/>
        <v>-5174.625121036469</v>
      </c>
      <c r="I75" s="56">
        <f t="shared" si="6"/>
        <v>-5303.99074906238</v>
      </c>
    </row>
    <row r="76" spans="2:9" ht="14.25" customHeight="1" x14ac:dyDescent="0.2">
      <c r="B76" s="13" t="s">
        <v>43</v>
      </c>
      <c r="C76" s="56">
        <f>-$E$43-$C$44</f>
        <v>-8153.7749970717095</v>
      </c>
      <c r="D76" s="56">
        <f t="shared" ref="D76:I76" si="7">-$E$43-$C$44</f>
        <v>-8153.7749970717095</v>
      </c>
      <c r="E76" s="56">
        <f t="shared" si="7"/>
        <v>-8153.7749970717095</v>
      </c>
      <c r="F76" s="56">
        <f t="shared" si="7"/>
        <v>-8153.7749970717095</v>
      </c>
      <c r="G76" s="56">
        <f t="shared" si="7"/>
        <v>-8153.7749970717095</v>
      </c>
      <c r="H76" s="56">
        <f t="shared" si="7"/>
        <v>-8153.7749970717095</v>
      </c>
      <c r="I76" s="56">
        <f t="shared" si="7"/>
        <v>-8153.7749970717095</v>
      </c>
    </row>
    <row r="77" spans="2:9" ht="14.25" customHeight="1" x14ac:dyDescent="0.2">
      <c r="B77" s="82" t="s">
        <v>26</v>
      </c>
      <c r="C77" s="83">
        <f t="shared" ref="C77:I77" si="8">SUM(C74:C76)</f>
        <v>-1744.9895970717098</v>
      </c>
      <c r="D77" s="83">
        <f t="shared" si="8"/>
        <v>-1584.7699620717103</v>
      </c>
      <c r="E77" s="83">
        <f t="shared" si="8"/>
        <v>-1420.544836196711</v>
      </c>
      <c r="F77" s="83">
        <f t="shared" si="8"/>
        <v>-1252.2140821748353</v>
      </c>
      <c r="G77" s="83">
        <f t="shared" si="8"/>
        <v>-1079.6750593024153</v>
      </c>
      <c r="H77" s="83">
        <f t="shared" si="8"/>
        <v>-902.82256085818335</v>
      </c>
      <c r="I77" s="84">
        <f t="shared" si="8"/>
        <v>-721.54874995284445</v>
      </c>
    </row>
    <row r="78" spans="2:9" s="11" customFormat="1" ht="8.25" customHeight="1" thickBot="1" x14ac:dyDescent="0.25">
      <c r="B78" s="77"/>
      <c r="C78" s="76"/>
      <c r="D78" s="76"/>
      <c r="E78" s="76"/>
      <c r="F78" s="76"/>
      <c r="G78" s="76"/>
      <c r="H78" s="76"/>
      <c r="I78" s="76"/>
    </row>
    <row r="79" spans="2:9" s="11" customFormat="1" ht="15" customHeight="1" x14ac:dyDescent="0.2">
      <c r="B79" s="17" t="s">
        <v>57</v>
      </c>
      <c r="C79" s="60"/>
      <c r="D79" s="60"/>
      <c r="E79" s="60"/>
      <c r="F79" s="60"/>
      <c r="G79" s="60"/>
      <c r="H79" s="60"/>
      <c r="I79" s="60"/>
    </row>
    <row r="80" spans="2:9" ht="14.25" customHeight="1" x14ac:dyDescent="0.2">
      <c r="B80" s="13" t="s">
        <v>43</v>
      </c>
      <c r="C80" s="56">
        <f>IPMT($C$7,C$63,$C$9,$C$19)-$C$44</f>
        <v>-5635.2</v>
      </c>
      <c r="D80" s="56">
        <f t="shared" ref="D80:I80" si="9">IPMT($C$7,D$63,$C$9,$C$19)-$C$44</f>
        <v>-5485.4232955577081</v>
      </c>
      <c r="E80" s="56">
        <f t="shared" si="9"/>
        <v>-5327.1093189622061</v>
      </c>
      <c r="F80" s="56">
        <f t="shared" si="9"/>
        <v>-5159.7714457007605</v>
      </c>
      <c r="G80" s="56">
        <f t="shared" si="9"/>
        <v>-4982.8953136634127</v>
      </c>
      <c r="H80" s="56">
        <f t="shared" si="9"/>
        <v>-4795.9372420999352</v>
      </c>
      <c r="I80" s="56">
        <f t="shared" si="9"/>
        <v>-4598.3225604573399</v>
      </c>
    </row>
    <row r="81" spans="1:9" ht="14.25" customHeight="1" x14ac:dyDescent="0.2">
      <c r="B81" s="9" t="s">
        <v>58</v>
      </c>
      <c r="C81" s="74">
        <f>+C80+C67+C66</f>
        <v>773.58539999999994</v>
      </c>
      <c r="D81" s="74">
        <f t="shared" ref="D81:I81" si="10">+D80+D67+D66</f>
        <v>1083.581739442292</v>
      </c>
      <c r="E81" s="74">
        <f t="shared" si="10"/>
        <v>1406.1208419127925</v>
      </c>
      <c r="F81" s="74">
        <f t="shared" si="10"/>
        <v>1741.7894691961137</v>
      </c>
      <c r="G81" s="74">
        <f t="shared" si="10"/>
        <v>2091.2046241058815</v>
      </c>
      <c r="H81" s="74">
        <f t="shared" si="10"/>
        <v>2455.0151941135919</v>
      </c>
      <c r="I81" s="73">
        <f t="shared" si="10"/>
        <v>2833.9036866615261</v>
      </c>
    </row>
    <row r="82" spans="1:9" ht="14.25" customHeight="1" thickBot="1" x14ac:dyDescent="0.25">
      <c r="B82" s="63"/>
      <c r="C82" s="64"/>
      <c r="D82" s="64"/>
      <c r="E82" s="64"/>
      <c r="F82" s="64"/>
      <c r="G82" s="64"/>
      <c r="H82" s="64"/>
      <c r="I82" s="64"/>
    </row>
    <row r="83" spans="1:9" ht="14.25" customHeight="1" x14ac:dyDescent="0.2">
      <c r="B83" s="14" t="s">
        <v>53</v>
      </c>
      <c r="C83" s="61"/>
      <c r="D83" s="61"/>
      <c r="E83" s="61"/>
      <c r="F83" s="61"/>
      <c r="G83" s="61"/>
      <c r="H83" s="61"/>
      <c r="I83" s="61"/>
    </row>
    <row r="84" spans="1:9" ht="14.25" customHeight="1" x14ac:dyDescent="0.2">
      <c r="B84" s="13" t="s">
        <v>44</v>
      </c>
      <c r="C84" s="56">
        <f>($C$14+$C$17)*(1+$C$11)^(C$63-$C$63+1)</f>
        <v>118170</v>
      </c>
      <c r="D84" s="56">
        <f t="shared" ref="D84:I84" si="11">($C$14+$C$17)*(1+$C$11)^(D$63-$C$63+1)</f>
        <v>119351.7</v>
      </c>
      <c r="E84" s="56">
        <f t="shared" si="11"/>
        <v>120545.21699999999</v>
      </c>
      <c r="F84" s="56">
        <f t="shared" si="11"/>
        <v>121750.66917000001</v>
      </c>
      <c r="G84" s="56">
        <f t="shared" si="11"/>
        <v>122968.17586169999</v>
      </c>
      <c r="H84" s="56">
        <f t="shared" si="11"/>
        <v>124197.85762031701</v>
      </c>
      <c r="I84" s="56">
        <f t="shared" si="11"/>
        <v>125439.83619652015</v>
      </c>
    </row>
    <row r="85" spans="1:9" ht="6.75" customHeight="1" x14ac:dyDescent="0.2">
      <c r="B85" s="13"/>
      <c r="C85" s="27"/>
      <c r="D85" s="56"/>
      <c r="E85" s="56"/>
      <c r="F85" s="56"/>
      <c r="G85" s="56"/>
      <c r="H85" s="56"/>
      <c r="I85" s="56"/>
    </row>
    <row r="86" spans="1:9" ht="14.25" customHeight="1" x14ac:dyDescent="0.2">
      <c r="B86" s="13" t="s">
        <v>46</v>
      </c>
      <c r="C86" s="56">
        <f>-$C$19</f>
        <v>-93600</v>
      </c>
      <c r="D86" s="56">
        <f t="shared" ref="D86:I86" si="12">-$C$19</f>
        <v>-93600</v>
      </c>
      <c r="E86" s="56">
        <f t="shared" si="12"/>
        <v>-93600</v>
      </c>
      <c r="F86" s="56">
        <f t="shared" si="12"/>
        <v>-93600</v>
      </c>
      <c r="G86" s="56">
        <f t="shared" si="12"/>
        <v>-93600</v>
      </c>
      <c r="H86" s="56">
        <f t="shared" si="12"/>
        <v>-93600</v>
      </c>
      <c r="I86" s="56">
        <f t="shared" si="12"/>
        <v>-93600</v>
      </c>
    </row>
    <row r="87" spans="1:9" ht="14.25" customHeight="1" x14ac:dyDescent="0.2">
      <c r="B87" s="13" t="s">
        <v>52</v>
      </c>
      <c r="C87" s="56">
        <f>+$C$20</f>
        <v>25740</v>
      </c>
      <c r="D87" s="56">
        <f t="shared" ref="D87:I87" si="13">+$C$20</f>
        <v>25740</v>
      </c>
      <c r="E87" s="56">
        <f t="shared" si="13"/>
        <v>25740</v>
      </c>
      <c r="F87" s="56">
        <f t="shared" si="13"/>
        <v>25740</v>
      </c>
      <c r="G87" s="56">
        <f t="shared" si="13"/>
        <v>25740</v>
      </c>
      <c r="H87" s="56">
        <f t="shared" si="13"/>
        <v>25740</v>
      </c>
      <c r="I87" s="56">
        <f t="shared" si="13"/>
        <v>25740</v>
      </c>
    </row>
    <row r="88" spans="1:9" ht="14.25" customHeight="1" x14ac:dyDescent="0.2">
      <c r="B88" s="68" t="s">
        <v>45</v>
      </c>
      <c r="C88" s="69">
        <f>+C86+C84-C87</f>
        <v>-1170</v>
      </c>
      <c r="D88" s="69">
        <f t="shared" ref="D88:I88" si="14">+D86+D84-D87</f>
        <v>11.69999999999709</v>
      </c>
      <c r="E88" s="69">
        <f t="shared" si="14"/>
        <v>1205.2169999999896</v>
      </c>
      <c r="F88" s="69">
        <f t="shared" si="14"/>
        <v>2410.6691700000083</v>
      </c>
      <c r="G88" s="69">
        <f t="shared" si="14"/>
        <v>3628.1758616999869</v>
      </c>
      <c r="H88" s="69">
        <f t="shared" si="14"/>
        <v>4857.8576203170087</v>
      </c>
      <c r="I88" s="69">
        <f t="shared" si="14"/>
        <v>6099.8361965201475</v>
      </c>
    </row>
    <row r="89" spans="1:9" ht="6.75" customHeight="1" x14ac:dyDescent="0.2">
      <c r="B89" s="58"/>
      <c r="C89" s="59"/>
      <c r="D89" s="59"/>
      <c r="E89" s="59"/>
      <c r="F89" s="59"/>
      <c r="G89" s="59"/>
      <c r="H89" s="59"/>
      <c r="I89" s="59"/>
    </row>
    <row r="90" spans="1:9" ht="14.25" customHeight="1" x14ac:dyDescent="0.2">
      <c r="B90" s="13" t="s">
        <v>47</v>
      </c>
      <c r="C90" s="56">
        <f t="shared" ref="C90:I90" si="15">IPMT($C$7,C$63+1,$C$9,$C$19)/$C$7</f>
        <v>-90972.33851855628</v>
      </c>
      <c r="D90" s="56">
        <f t="shared" si="15"/>
        <v>-88194.90033267028</v>
      </c>
      <c r="E90" s="56">
        <f t="shared" si="15"/>
        <v>-85259.148170188782</v>
      </c>
      <c r="F90" s="56">
        <f t="shared" si="15"/>
        <v>-82156.058134445833</v>
      </c>
      <c r="G90" s="56">
        <f t="shared" si="15"/>
        <v>-78876.091966665525</v>
      </c>
      <c r="H90" s="56">
        <f t="shared" si="15"/>
        <v>-75409.16772732175</v>
      </c>
      <c r="I90" s="56">
        <f t="shared" si="15"/>
        <v>-71744.628806335386</v>
      </c>
    </row>
    <row r="91" spans="1:9" ht="14.25" customHeight="1" x14ac:dyDescent="0.2">
      <c r="B91" s="13" t="s">
        <v>52</v>
      </c>
      <c r="C91" s="56">
        <f>+$C$20</f>
        <v>25740</v>
      </c>
      <c r="D91" s="56">
        <f t="shared" ref="D91:I91" si="16">+$C$20</f>
        <v>25740</v>
      </c>
      <c r="E91" s="56">
        <f t="shared" si="16"/>
        <v>25740</v>
      </c>
      <c r="F91" s="56">
        <f t="shared" si="16"/>
        <v>25740</v>
      </c>
      <c r="G91" s="56">
        <f t="shared" si="16"/>
        <v>25740</v>
      </c>
      <c r="H91" s="56">
        <f t="shared" si="16"/>
        <v>25740</v>
      </c>
      <c r="I91" s="56">
        <f t="shared" si="16"/>
        <v>25740</v>
      </c>
    </row>
    <row r="92" spans="1:9" ht="14.25" customHeight="1" x14ac:dyDescent="0.2">
      <c r="B92" s="68" t="s">
        <v>48</v>
      </c>
      <c r="C92" s="69">
        <f>+C90+C84-C91</f>
        <v>1457.6614814437198</v>
      </c>
      <c r="D92" s="69">
        <f t="shared" ref="D92:I92" si="17">+D90+D84-D91</f>
        <v>5416.7996673297166</v>
      </c>
      <c r="E92" s="69">
        <f t="shared" si="17"/>
        <v>9546.0688298112073</v>
      </c>
      <c r="F92" s="69">
        <f t="shared" si="17"/>
        <v>13854.611035554175</v>
      </c>
      <c r="G92" s="69">
        <f t="shared" si="17"/>
        <v>18352.083895034462</v>
      </c>
      <c r="H92" s="69">
        <f t="shared" si="17"/>
        <v>23048.689892995259</v>
      </c>
      <c r="I92" s="69">
        <f t="shared" si="17"/>
        <v>27955.207390184762</v>
      </c>
    </row>
    <row r="93" spans="1:9" s="11" customFormat="1" ht="9.75" customHeight="1" x14ac:dyDescent="0.2">
      <c r="B93" s="13"/>
      <c r="C93" s="70"/>
      <c r="D93" s="60"/>
      <c r="E93" s="60"/>
      <c r="F93" s="60"/>
      <c r="G93" s="60"/>
      <c r="H93" s="60"/>
      <c r="I93" s="60"/>
    </row>
    <row r="94" spans="1:9" ht="3.95" customHeight="1" x14ac:dyDescent="0.2">
      <c r="A94" s="7"/>
      <c r="B94" s="7"/>
      <c r="C94" s="7"/>
      <c r="D94" s="7"/>
      <c r="E94" s="22"/>
      <c r="F94" s="7"/>
      <c r="G94" s="7"/>
      <c r="H94" s="7"/>
      <c r="I94" s="7"/>
    </row>
    <row r="95" spans="1:9" x14ac:dyDescent="0.2">
      <c r="C95" s="27"/>
      <c r="D95" s="27"/>
      <c r="F95" s="27"/>
      <c r="G95" s="27"/>
      <c r="H95" s="27"/>
      <c r="I95" s="27"/>
    </row>
    <row r="96" spans="1:9" x14ac:dyDescent="0.2">
      <c r="C96" s="75"/>
      <c r="D96" s="75"/>
      <c r="E96" s="75"/>
      <c r="F96" s="75"/>
      <c r="G96" s="75"/>
      <c r="H96" s="75"/>
      <c r="I96" s="75"/>
    </row>
    <row r="97" spans="4:4" x14ac:dyDescent="0.2">
      <c r="D97" s="57"/>
    </row>
  </sheetData>
  <mergeCells count="1">
    <mergeCell ref="B2:I2"/>
  </mergeCells>
  <phoneticPr fontId="1" type="noConversion"/>
  <conditionalFormatting sqref="D61">
    <cfRule type="expression" dxfId="43" priority="9">
      <formula>D61&gt;0</formula>
    </cfRule>
    <cfRule type="expression" dxfId="42" priority="10">
      <formula>D61&lt;0</formula>
    </cfRule>
  </conditionalFormatting>
  <conditionalFormatting sqref="E61">
    <cfRule type="expression" dxfId="41" priority="7">
      <formula>E61&gt;0</formula>
    </cfRule>
    <cfRule type="expression" dxfId="40" priority="8">
      <formula>E61&lt;0</formula>
    </cfRule>
  </conditionalFormatting>
  <conditionalFormatting sqref="C69:I69">
    <cfRule type="expression" dxfId="39" priority="5">
      <formula>C69&gt;0</formula>
    </cfRule>
    <cfRule type="expression" dxfId="38" priority="6">
      <formula>C69&lt;0</formula>
    </cfRule>
  </conditionalFormatting>
  <conditionalFormatting sqref="C77:I77">
    <cfRule type="expression" dxfId="37" priority="1">
      <formula>C77&gt;0</formula>
    </cfRule>
    <cfRule type="expression" dxfId="36" priority="2">
      <formula>C77&lt;0</formula>
    </cfRule>
  </conditionalFormatting>
  <printOptions horizontalCentered="1"/>
  <pageMargins left="0.75" right="0.75" top="1" bottom="1" header="0.5" footer="0.5"/>
  <pageSetup scale="85" orientation="portrait" r:id="rId1"/>
  <ignoredErrors>
    <ignoredError sqref="AVO2853:BFK2853 AVO4901:BFK4901 AVO6181:BFK6181" emptyCellReference="1"/>
  </ignoredErrors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pageSetUpPr fitToPage="1"/>
  </sheetPr>
  <dimension ref="A1:I97"/>
  <sheetViews>
    <sheetView showGridLines="0" workbookViewId="0">
      <pane xSplit="3" ySplit="2" topLeftCell="D69" activePane="bottomRight" state="frozen"/>
      <selection pane="topRight" activeCell="D1" sqref="D1"/>
      <selection pane="bottomLeft" activeCell="A3" sqref="A3"/>
      <selection pane="bottomRight" activeCell="B65" sqref="B65"/>
    </sheetView>
  </sheetViews>
  <sheetFormatPr defaultColWidth="9.140625" defaultRowHeight="12.75" x14ac:dyDescent="0.2"/>
  <cols>
    <col min="1" max="1" width="1.85546875" style="1" customWidth="1"/>
    <col min="2" max="2" width="24.140625" style="1" customWidth="1"/>
    <col min="3" max="3" width="16.5703125" style="1" customWidth="1"/>
    <col min="4" max="4" width="15" style="1" customWidth="1"/>
    <col min="5" max="5" width="15" style="27" customWidth="1"/>
    <col min="6" max="6" width="15" style="1" customWidth="1"/>
    <col min="7" max="9" width="15.5703125" style="1" customWidth="1"/>
    <col min="10" max="16384" width="9.140625" style="1"/>
  </cols>
  <sheetData>
    <row r="1" spans="1:9" ht="45" customHeight="1" thickBot="1" x14ac:dyDescent="0.25">
      <c r="A1" s="40"/>
      <c r="B1" s="32" t="s">
        <v>1</v>
      </c>
      <c r="C1" s="21"/>
      <c r="D1" s="21"/>
      <c r="E1" s="21"/>
      <c r="F1" s="21"/>
      <c r="G1" s="21"/>
      <c r="H1" s="19"/>
      <c r="I1" s="18"/>
    </row>
    <row r="2" spans="1:9" ht="22.5" customHeight="1" x14ac:dyDescent="0.2">
      <c r="A2" s="20"/>
      <c r="B2" s="87" t="s">
        <v>60</v>
      </c>
      <c r="C2" s="87"/>
      <c r="D2" s="88"/>
      <c r="E2" s="88"/>
      <c r="F2" s="88"/>
      <c r="G2" s="88"/>
      <c r="H2" s="88"/>
      <c r="I2" s="88"/>
    </row>
    <row r="3" spans="1:9" ht="8.1" customHeight="1" thickBot="1" x14ac:dyDescent="0.25">
      <c r="B3" s="12"/>
      <c r="C3" s="12"/>
      <c r="D3" s="2"/>
      <c r="E3" s="23"/>
      <c r="F3" s="8"/>
      <c r="G3" s="2"/>
      <c r="H3" s="2"/>
      <c r="I3" s="8"/>
    </row>
    <row r="4" spans="1:9" ht="17.100000000000001" customHeight="1" x14ac:dyDescent="0.2">
      <c r="B4" s="41" t="s">
        <v>63</v>
      </c>
      <c r="C4" s="16"/>
      <c r="E4" s="1"/>
    </row>
    <row r="5" spans="1:9" x14ac:dyDescent="0.2">
      <c r="B5" s="65" t="s">
        <v>5</v>
      </c>
      <c r="C5" s="33">
        <v>0.8</v>
      </c>
      <c r="E5" s="1"/>
    </row>
    <row r="6" spans="1:9" x14ac:dyDescent="0.2">
      <c r="B6" s="66" t="s">
        <v>6</v>
      </c>
      <c r="C6" s="34">
        <v>0.02</v>
      </c>
      <c r="D6" s="39"/>
      <c r="E6" s="1"/>
    </row>
    <row r="7" spans="1:9" x14ac:dyDescent="0.2">
      <c r="B7" s="66" t="s">
        <v>7</v>
      </c>
      <c r="C7" s="85">
        <v>5.74E-2</v>
      </c>
      <c r="E7" s="1"/>
    </row>
    <row r="8" spans="1:9" x14ac:dyDescent="0.2">
      <c r="B8" s="66" t="s">
        <v>24</v>
      </c>
      <c r="C8" s="34">
        <v>0.15</v>
      </c>
      <c r="E8" s="1"/>
    </row>
    <row r="9" spans="1:9" x14ac:dyDescent="0.2">
      <c r="A9" s="2"/>
      <c r="B9" s="66" t="s">
        <v>54</v>
      </c>
      <c r="C9" s="43">
        <v>25</v>
      </c>
      <c r="E9" s="1"/>
    </row>
    <row r="10" spans="1:9" x14ac:dyDescent="0.2">
      <c r="A10" s="2"/>
      <c r="B10" s="66" t="s">
        <v>41</v>
      </c>
      <c r="C10" s="34">
        <v>2.5000000000000001E-2</v>
      </c>
      <c r="E10" s="1"/>
    </row>
    <row r="11" spans="1:9" x14ac:dyDescent="0.2">
      <c r="A11" s="2"/>
      <c r="B11" s="67" t="s">
        <v>40</v>
      </c>
      <c r="C11" s="34">
        <v>0.01</v>
      </c>
      <c r="E11" s="1"/>
    </row>
    <row r="12" spans="1:9" ht="13.5" thickBot="1" x14ac:dyDescent="0.25">
      <c r="B12" s="4"/>
      <c r="C12" s="4"/>
      <c r="E12" s="1"/>
    </row>
    <row r="13" spans="1:9" ht="14.25" x14ac:dyDescent="0.2">
      <c r="B13" s="41" t="s">
        <v>59</v>
      </c>
      <c r="C13" s="16"/>
      <c r="E13" s="1"/>
    </row>
    <row r="14" spans="1:9" x14ac:dyDescent="0.2">
      <c r="B14" s="3" t="s">
        <v>3</v>
      </c>
      <c r="C14" s="35">
        <v>117000</v>
      </c>
      <c r="E14" s="1"/>
    </row>
    <row r="15" spans="1:9" x14ac:dyDescent="0.2">
      <c r="B15" s="3" t="s">
        <v>8</v>
      </c>
      <c r="C15" s="31">
        <f>C6*C14</f>
        <v>2340</v>
      </c>
      <c r="E15" s="1"/>
    </row>
    <row r="16" spans="1:9" x14ac:dyDescent="0.2">
      <c r="B16" s="3" t="s">
        <v>62</v>
      </c>
      <c r="C16" s="35">
        <v>0</v>
      </c>
      <c r="E16" s="1"/>
    </row>
    <row r="17" spans="2:5" x14ac:dyDescent="0.2">
      <c r="B17" s="3" t="s">
        <v>61</v>
      </c>
      <c r="C17" s="35">
        <v>0</v>
      </c>
      <c r="E17" s="1"/>
    </row>
    <row r="18" spans="2:5" x14ac:dyDescent="0.2">
      <c r="B18" s="3" t="s">
        <v>32</v>
      </c>
      <c r="C18" s="35"/>
      <c r="E18" s="1"/>
    </row>
    <row r="19" spans="2:5" ht="13.5" thickBot="1" x14ac:dyDescent="0.25">
      <c r="B19" s="3" t="s">
        <v>2</v>
      </c>
      <c r="C19" s="47">
        <f>C14*C5</f>
        <v>93600</v>
      </c>
      <c r="E19" s="1"/>
    </row>
    <row r="20" spans="2:5" ht="13.5" thickBot="1" x14ac:dyDescent="0.25">
      <c r="B20" s="71" t="s">
        <v>9</v>
      </c>
      <c r="C20" s="48">
        <f>SUM(C14:C18)-C19</f>
        <v>25740</v>
      </c>
      <c r="D20" s="39"/>
      <c r="E20" s="1"/>
    </row>
    <row r="21" spans="2:5" ht="13.5" thickBot="1" x14ac:dyDescent="0.25">
      <c r="B21" s="3"/>
      <c r="C21" s="13"/>
      <c r="E21" s="1"/>
    </row>
    <row r="22" spans="2:5" ht="13.5" thickBot="1" x14ac:dyDescent="0.25">
      <c r="B22" s="9" t="s">
        <v>0</v>
      </c>
      <c r="C22" s="28">
        <f>SUM(C14:C18)</f>
        <v>119340</v>
      </c>
      <c r="E22" s="1"/>
    </row>
    <row r="23" spans="2:5" ht="13.5" thickBot="1" x14ac:dyDescent="0.25">
      <c r="B23" s="4"/>
      <c r="C23" s="4"/>
      <c r="E23" s="1"/>
    </row>
    <row r="24" spans="2:5" ht="14.25" x14ac:dyDescent="0.2">
      <c r="B24" s="41" t="s">
        <v>33</v>
      </c>
      <c r="C24" s="16"/>
      <c r="E24" s="1"/>
    </row>
    <row r="25" spans="2:5" x14ac:dyDescent="0.2">
      <c r="B25" s="3" t="s">
        <v>10</v>
      </c>
      <c r="C25" s="35">
        <v>220</v>
      </c>
      <c r="E25" s="1"/>
    </row>
    <row r="26" spans="2:5" x14ac:dyDescent="0.2">
      <c r="B26" s="3" t="s">
        <v>12</v>
      </c>
      <c r="C26" s="38">
        <f>(+C25*52)/C14</f>
        <v>9.7777777777777783E-2</v>
      </c>
      <c r="D26" s="39"/>
      <c r="E26" s="1"/>
    </row>
    <row r="27" spans="2:5" ht="13.5" thickBot="1" x14ac:dyDescent="0.25">
      <c r="B27" s="3" t="s">
        <v>11</v>
      </c>
      <c r="C27" s="36">
        <v>1</v>
      </c>
      <c r="D27" s="39"/>
      <c r="E27" s="1"/>
    </row>
    <row r="28" spans="2:5" ht="13.5" thickBot="1" x14ac:dyDescent="0.25">
      <c r="B28" s="9" t="s">
        <v>0</v>
      </c>
      <c r="C28" s="28">
        <f>+C25*52*C27</f>
        <v>11440</v>
      </c>
      <c r="E28" s="1"/>
    </row>
    <row r="29" spans="2:5" ht="13.5" thickBot="1" x14ac:dyDescent="0.25">
      <c r="B29" s="4"/>
      <c r="C29" s="4"/>
    </row>
    <row r="30" spans="2:5" ht="14.25" x14ac:dyDescent="0.2">
      <c r="B30" s="41" t="s">
        <v>14</v>
      </c>
      <c r="C30" s="16"/>
    </row>
    <row r="31" spans="2:5" x14ac:dyDescent="0.2">
      <c r="B31" s="6" t="s">
        <v>17</v>
      </c>
      <c r="C31" s="35">
        <v>500</v>
      </c>
    </row>
    <row r="32" spans="2:5" x14ac:dyDescent="0.2">
      <c r="B32" s="3" t="s">
        <v>18</v>
      </c>
      <c r="C32" s="35">
        <v>1950</v>
      </c>
    </row>
    <row r="33" spans="2:5" x14ac:dyDescent="0.2">
      <c r="B33" s="3" t="s">
        <v>19</v>
      </c>
      <c r="C33" s="35">
        <v>0</v>
      </c>
    </row>
    <row r="34" spans="2:5" x14ac:dyDescent="0.2">
      <c r="B34" s="3" t="s">
        <v>20</v>
      </c>
      <c r="C34" s="35">
        <v>0</v>
      </c>
    </row>
    <row r="35" spans="2:5" x14ac:dyDescent="0.2">
      <c r="B35" s="3" t="s">
        <v>21</v>
      </c>
      <c r="C35" s="35">
        <v>900</v>
      </c>
    </row>
    <row r="36" spans="2:5" x14ac:dyDescent="0.2">
      <c r="B36" s="3" t="s">
        <v>25</v>
      </c>
      <c r="C36" s="35">
        <v>0</v>
      </c>
    </row>
    <row r="37" spans="2:5" x14ac:dyDescent="0.2">
      <c r="B37" s="3" t="s">
        <v>34</v>
      </c>
      <c r="C37" s="37">
        <v>8.5000000000000006E-2</v>
      </c>
    </row>
    <row r="38" spans="2:5" x14ac:dyDescent="0.2">
      <c r="B38" s="3" t="s">
        <v>23</v>
      </c>
      <c r="C38" s="31">
        <f>(C25*C27*52)*C37</f>
        <v>972.40000000000009</v>
      </c>
    </row>
    <row r="39" spans="2:5" x14ac:dyDescent="0.2">
      <c r="B39" s="3" t="s">
        <v>22</v>
      </c>
      <c r="C39" s="47">
        <f>+C38*C8</f>
        <v>145.86000000000001</v>
      </c>
    </row>
    <row r="40" spans="2:5" x14ac:dyDescent="0.2">
      <c r="B40" s="9" t="s">
        <v>0</v>
      </c>
      <c r="C40" s="49">
        <f>SUM(C31:C39)</f>
        <v>4468.3450000000003</v>
      </c>
    </row>
    <row r="41" spans="2:5" ht="13.5" thickBot="1" x14ac:dyDescent="0.25">
      <c r="B41" s="4"/>
      <c r="C41" s="4"/>
      <c r="D41" s="5"/>
      <c r="E41" s="25"/>
    </row>
    <row r="42" spans="2:5" ht="14.25" x14ac:dyDescent="0.2">
      <c r="B42" s="41" t="s">
        <v>13</v>
      </c>
      <c r="C42" s="10"/>
      <c r="D42" s="45" t="s">
        <v>35</v>
      </c>
      <c r="E42" s="45" t="s">
        <v>36</v>
      </c>
    </row>
    <row r="43" spans="2:5" x14ac:dyDescent="0.2">
      <c r="B43" s="50" t="s">
        <v>15</v>
      </c>
      <c r="D43" s="31">
        <f>+C19*C7</f>
        <v>5372.64</v>
      </c>
      <c r="E43" s="31">
        <f>-PMT(C7/12,C9*12,C19)*12</f>
        <v>7059.3372115787079</v>
      </c>
    </row>
    <row r="44" spans="2:5" x14ac:dyDescent="0.2">
      <c r="B44" s="13" t="s">
        <v>16</v>
      </c>
      <c r="C44" s="42">
        <v>0</v>
      </c>
      <c r="E44" s="1"/>
    </row>
    <row r="45" spans="2:5" ht="13.5" thickBot="1" x14ac:dyDescent="0.25">
      <c r="E45" s="1"/>
    </row>
    <row r="46" spans="2:5" ht="14.25" x14ac:dyDescent="0.2">
      <c r="B46" s="41" t="s">
        <v>38</v>
      </c>
      <c r="C46" s="16"/>
      <c r="D46" s="15"/>
      <c r="E46" s="1"/>
    </row>
    <row r="47" spans="2:5" x14ac:dyDescent="0.2">
      <c r="B47" s="6" t="s">
        <v>4</v>
      </c>
      <c r="C47" s="13"/>
      <c r="D47" s="31">
        <f>+C28</f>
        <v>11440</v>
      </c>
      <c r="E47" s="1"/>
    </row>
    <row r="48" spans="2:5" x14ac:dyDescent="0.2">
      <c r="B48" s="3" t="s">
        <v>14</v>
      </c>
      <c r="C48" s="13"/>
      <c r="D48" s="46">
        <f>-C40</f>
        <v>-4468.3450000000003</v>
      </c>
      <c r="E48" s="1"/>
    </row>
    <row r="49" spans="2:9" x14ac:dyDescent="0.2">
      <c r="B49" s="3" t="s">
        <v>37</v>
      </c>
      <c r="C49" s="13"/>
      <c r="D49" s="52">
        <f>-C44-D43</f>
        <v>-5372.64</v>
      </c>
      <c r="E49" s="1"/>
    </row>
    <row r="50" spans="2:9" x14ac:dyDescent="0.2">
      <c r="B50" s="9" t="s">
        <v>39</v>
      </c>
      <c r="C50" s="51"/>
      <c r="D50" s="54">
        <f>SUM(D47:D49)</f>
        <v>1599.0149999999994</v>
      </c>
      <c r="E50" s="1"/>
    </row>
    <row r="51" spans="2:9" ht="13.5" thickBot="1" x14ac:dyDescent="0.25">
      <c r="B51" s="4"/>
      <c r="C51" s="4"/>
      <c r="D51" s="5"/>
      <c r="E51" s="25"/>
    </row>
    <row r="52" spans="2:9" ht="14.25" x14ac:dyDescent="0.2">
      <c r="B52" s="41" t="s">
        <v>26</v>
      </c>
      <c r="C52" s="16"/>
      <c r="D52" s="15" t="str">
        <f>+D42</f>
        <v>Interest Only</v>
      </c>
      <c r="E52" s="15" t="str">
        <f>+E42</f>
        <v>P&amp;I Loan</v>
      </c>
    </row>
    <row r="53" spans="2:9" x14ac:dyDescent="0.2">
      <c r="B53" s="6" t="s">
        <v>4</v>
      </c>
      <c r="C53" s="13"/>
      <c r="D53" s="31">
        <f>+D47</f>
        <v>11440</v>
      </c>
      <c r="E53" s="31">
        <f>+C28</f>
        <v>11440</v>
      </c>
    </row>
    <row r="54" spans="2:9" x14ac:dyDescent="0.2">
      <c r="B54" s="3" t="s">
        <v>14</v>
      </c>
      <c r="C54" s="13"/>
      <c r="D54" s="46">
        <f>+D48</f>
        <v>-4468.3450000000003</v>
      </c>
      <c r="E54" s="46">
        <f>-C40</f>
        <v>-4468.3450000000003</v>
      </c>
    </row>
    <row r="55" spans="2:9" x14ac:dyDescent="0.2">
      <c r="B55" s="3" t="s">
        <v>37</v>
      </c>
      <c r="C55" s="13"/>
      <c r="D55" s="52">
        <f>+D49</f>
        <v>-5372.64</v>
      </c>
      <c r="E55" s="52">
        <f>-E43-C44</f>
        <v>-7059.3372115787079</v>
      </c>
    </row>
    <row r="56" spans="2:9" x14ac:dyDescent="0.2">
      <c r="B56" s="9" t="s">
        <v>56</v>
      </c>
      <c r="C56" s="51"/>
      <c r="D56" s="53">
        <f>SUM(D53:D55)</f>
        <v>1599.0149999999994</v>
      </c>
      <c r="E56" s="54">
        <f>SUM(E53:E55)</f>
        <v>-87.68221157870812</v>
      </c>
    </row>
    <row r="57" spans="2:9" ht="13.5" thickBot="1" x14ac:dyDescent="0.25">
      <c r="B57" s="4"/>
      <c r="C57" s="4"/>
      <c r="D57" s="5"/>
      <c r="E57" s="25"/>
    </row>
    <row r="58" spans="2:9" ht="15" thickBot="1" x14ac:dyDescent="0.25">
      <c r="B58" s="14" t="s">
        <v>27</v>
      </c>
      <c r="C58" s="15" t="s">
        <v>29</v>
      </c>
      <c r="D58" s="24" t="s">
        <v>30</v>
      </c>
      <c r="E58" s="24" t="s">
        <v>30</v>
      </c>
    </row>
    <row r="59" spans="2:9" ht="15" thickBot="1" x14ac:dyDescent="0.25">
      <c r="B59" s="55"/>
      <c r="C59" s="15"/>
      <c r="D59" s="72" t="str">
        <f>+D52</f>
        <v>Interest Only</v>
      </c>
      <c r="E59" s="72" t="str">
        <f>+E52</f>
        <v>P&amp;I Loan</v>
      </c>
    </row>
    <row r="60" spans="2:9" ht="21" customHeight="1" x14ac:dyDescent="0.2">
      <c r="B60" s="13" t="s">
        <v>28</v>
      </c>
      <c r="C60" s="29">
        <f>C20</f>
        <v>25740</v>
      </c>
      <c r="D60" s="26">
        <f>+D56</f>
        <v>1599.0149999999994</v>
      </c>
      <c r="E60" s="26">
        <f>E56</f>
        <v>-87.68221157870812</v>
      </c>
    </row>
    <row r="61" spans="2:9" ht="19.5" customHeight="1" x14ac:dyDescent="0.2">
      <c r="B61" s="13" t="s">
        <v>31</v>
      </c>
      <c r="C61" s="13"/>
      <c r="D61" s="30">
        <f>D60/C60</f>
        <v>6.2121794871794853E-2</v>
      </c>
      <c r="E61" s="30">
        <f>E60/C60</f>
        <v>-3.4064573262901367E-3</v>
      </c>
    </row>
    <row r="62" spans="2:9" ht="21" customHeight="1" thickBot="1" x14ac:dyDescent="0.25">
      <c r="B62" s="13"/>
      <c r="C62" s="13"/>
      <c r="D62" s="13"/>
      <c r="E62" s="13"/>
    </row>
    <row r="63" spans="2:9" ht="21" customHeight="1" thickBot="1" x14ac:dyDescent="0.25">
      <c r="B63" s="14" t="s">
        <v>51</v>
      </c>
      <c r="C63" s="44">
        <v>1</v>
      </c>
      <c r="D63" s="44">
        <f t="shared" ref="D63:I63" si="0">+C63+1</f>
        <v>2</v>
      </c>
      <c r="E63" s="44">
        <f t="shared" si="0"/>
        <v>3</v>
      </c>
      <c r="F63" s="44">
        <f t="shared" si="0"/>
        <v>4</v>
      </c>
      <c r="G63" s="44">
        <f t="shared" si="0"/>
        <v>5</v>
      </c>
      <c r="H63" s="44">
        <f t="shared" si="0"/>
        <v>6</v>
      </c>
      <c r="I63" s="44">
        <f t="shared" si="0"/>
        <v>7</v>
      </c>
    </row>
    <row r="64" spans="2:9" s="11" customFormat="1" ht="6" customHeight="1" x14ac:dyDescent="0.2">
      <c r="B64" s="79"/>
      <c r="C64" s="78"/>
      <c r="D64" s="78"/>
      <c r="E64" s="78"/>
      <c r="F64" s="78"/>
      <c r="G64" s="78"/>
      <c r="H64" s="78"/>
      <c r="I64" s="78"/>
    </row>
    <row r="65" spans="2:9" ht="14.25" customHeight="1" x14ac:dyDescent="0.2">
      <c r="B65" s="80" t="s">
        <v>64</v>
      </c>
      <c r="C65" s="81"/>
      <c r="D65" s="81"/>
      <c r="E65" s="81"/>
      <c r="F65" s="81"/>
      <c r="G65" s="81"/>
      <c r="H65" s="81"/>
      <c r="I65" s="81"/>
    </row>
    <row r="66" spans="2:9" ht="14.25" customHeight="1" x14ac:dyDescent="0.2">
      <c r="B66" s="13" t="s">
        <v>42</v>
      </c>
      <c r="C66" s="27">
        <f>+C28</f>
        <v>11440</v>
      </c>
      <c r="D66" s="56">
        <f t="shared" ref="D66:I66" si="1">$C$28*(1+$C$10)^(D$63-$C$63)</f>
        <v>11725.999999999998</v>
      </c>
      <c r="E66" s="56">
        <f t="shared" si="1"/>
        <v>12019.15</v>
      </c>
      <c r="F66" s="56">
        <f t="shared" si="1"/>
        <v>12319.628749999998</v>
      </c>
      <c r="G66" s="56">
        <f t="shared" si="1"/>
        <v>12627.619468749997</v>
      </c>
      <c r="H66" s="56">
        <f t="shared" si="1"/>
        <v>12943.309955468747</v>
      </c>
      <c r="I66" s="56">
        <f t="shared" si="1"/>
        <v>13266.892704355463</v>
      </c>
    </row>
    <row r="67" spans="2:9" ht="14.25" customHeight="1" x14ac:dyDescent="0.2">
      <c r="B67" s="13" t="s">
        <v>14</v>
      </c>
      <c r="C67" s="56">
        <f>-C40</f>
        <v>-4468.3450000000003</v>
      </c>
      <c r="D67" s="56">
        <f t="shared" ref="D67:I67" si="2">-$C$40*(1+$C$10)^(D$63-$C$63)</f>
        <v>-4580.0536249999996</v>
      </c>
      <c r="E67" s="56">
        <f t="shared" si="2"/>
        <v>-4694.5549656249996</v>
      </c>
      <c r="F67" s="56">
        <f t="shared" si="2"/>
        <v>-4811.9188397656244</v>
      </c>
      <c r="G67" s="56">
        <f t="shared" si="2"/>
        <v>-4932.2168107597645</v>
      </c>
      <c r="H67" s="56">
        <f t="shared" si="2"/>
        <v>-5055.5222310287581</v>
      </c>
      <c r="I67" s="56">
        <f t="shared" si="2"/>
        <v>-5181.9102868044774</v>
      </c>
    </row>
    <row r="68" spans="2:9" ht="14.25" customHeight="1" x14ac:dyDescent="0.2">
      <c r="B68" s="13" t="s">
        <v>43</v>
      </c>
      <c r="C68" s="56">
        <f>+$D$49</f>
        <v>-5372.64</v>
      </c>
      <c r="D68" s="56">
        <f t="shared" ref="D68:I68" si="3">+$D$49</f>
        <v>-5372.64</v>
      </c>
      <c r="E68" s="56">
        <f t="shared" si="3"/>
        <v>-5372.64</v>
      </c>
      <c r="F68" s="56">
        <f t="shared" si="3"/>
        <v>-5372.64</v>
      </c>
      <c r="G68" s="56">
        <f t="shared" si="3"/>
        <v>-5372.64</v>
      </c>
      <c r="H68" s="56">
        <f t="shared" si="3"/>
        <v>-5372.64</v>
      </c>
      <c r="I68" s="56">
        <f t="shared" si="3"/>
        <v>-5372.64</v>
      </c>
    </row>
    <row r="69" spans="2:9" ht="14.25" customHeight="1" x14ac:dyDescent="0.2">
      <c r="B69" s="82" t="s">
        <v>26</v>
      </c>
      <c r="C69" s="83">
        <f>SUM(C66:C68)</f>
        <v>1599.0149999999994</v>
      </c>
      <c r="D69" s="83">
        <f t="shared" ref="D69:I69" si="4">SUM(D66:D68)</f>
        <v>1773.3063749999983</v>
      </c>
      <c r="E69" s="83">
        <f t="shared" si="4"/>
        <v>1951.9550343749997</v>
      </c>
      <c r="F69" s="83">
        <f t="shared" si="4"/>
        <v>2135.0699102343733</v>
      </c>
      <c r="G69" s="83">
        <f t="shared" si="4"/>
        <v>2322.7626579902326</v>
      </c>
      <c r="H69" s="83">
        <f t="shared" si="4"/>
        <v>2515.1477244399885</v>
      </c>
      <c r="I69" s="84">
        <f t="shared" si="4"/>
        <v>2712.3424175509854</v>
      </c>
    </row>
    <row r="70" spans="2:9" s="62" customFormat="1" ht="15" customHeight="1" x14ac:dyDescent="0.15">
      <c r="B70" s="62" t="s">
        <v>55</v>
      </c>
    </row>
    <row r="71" spans="2:9" s="62" customFormat="1" ht="9.75" customHeight="1" x14ac:dyDescent="0.15"/>
    <row r="72" spans="2:9" ht="14.25" customHeight="1" thickBot="1" x14ac:dyDescent="0.25">
      <c r="B72" s="80" t="s">
        <v>50</v>
      </c>
      <c r="C72" s="81"/>
      <c r="D72" s="81"/>
      <c r="E72" s="81"/>
      <c r="F72" s="81"/>
      <c r="G72" s="81"/>
      <c r="H72" s="81"/>
      <c r="I72" s="81"/>
    </row>
    <row r="73" spans="2:9" s="11" customFormat="1" ht="15" customHeight="1" x14ac:dyDescent="0.2">
      <c r="B73" s="17" t="s">
        <v>49</v>
      </c>
      <c r="C73" s="60"/>
      <c r="D73" s="60"/>
      <c r="E73" s="60"/>
      <c r="F73" s="60"/>
      <c r="G73" s="60"/>
      <c r="H73" s="60"/>
      <c r="I73" s="60"/>
    </row>
    <row r="74" spans="2:9" ht="14.25" customHeight="1" x14ac:dyDescent="0.2">
      <c r="B74" s="13" t="s">
        <v>42</v>
      </c>
      <c r="C74" s="27">
        <f>+C28</f>
        <v>11440</v>
      </c>
      <c r="D74" s="56">
        <f t="shared" ref="D74:I74" si="5">$C$28*(1+$C$10)^(D$63-$C$63)</f>
        <v>11725.999999999998</v>
      </c>
      <c r="E74" s="56">
        <f t="shared" si="5"/>
        <v>12019.15</v>
      </c>
      <c r="F74" s="56">
        <f t="shared" si="5"/>
        <v>12319.628749999998</v>
      </c>
      <c r="G74" s="56">
        <f t="shared" si="5"/>
        <v>12627.619468749997</v>
      </c>
      <c r="H74" s="56">
        <f t="shared" si="5"/>
        <v>12943.309955468747</v>
      </c>
      <c r="I74" s="56">
        <f t="shared" si="5"/>
        <v>13266.892704355463</v>
      </c>
    </row>
    <row r="75" spans="2:9" ht="14.25" customHeight="1" x14ac:dyDescent="0.2">
      <c r="B75" s="13" t="s">
        <v>14</v>
      </c>
      <c r="C75" s="56">
        <f>-C40</f>
        <v>-4468.3450000000003</v>
      </c>
      <c r="D75" s="56">
        <f t="shared" ref="D75:I75" si="6">-$C$40*(1+$C$10)^(D$63-$C$63)</f>
        <v>-4580.0536249999996</v>
      </c>
      <c r="E75" s="56">
        <f t="shared" si="6"/>
        <v>-4694.5549656249996</v>
      </c>
      <c r="F75" s="56">
        <f t="shared" si="6"/>
        <v>-4811.9188397656244</v>
      </c>
      <c r="G75" s="56">
        <f t="shared" si="6"/>
        <v>-4932.2168107597645</v>
      </c>
      <c r="H75" s="56">
        <f t="shared" si="6"/>
        <v>-5055.5222310287581</v>
      </c>
      <c r="I75" s="56">
        <f t="shared" si="6"/>
        <v>-5181.9102868044774</v>
      </c>
    </row>
    <row r="76" spans="2:9" ht="14.25" customHeight="1" x14ac:dyDescent="0.2">
      <c r="B76" s="13" t="s">
        <v>43</v>
      </c>
      <c r="C76" s="56">
        <f>-$E$43-$C$44</f>
        <v>-7059.3372115787079</v>
      </c>
      <c r="D76" s="56">
        <f t="shared" ref="D76:I76" si="7">-$E$43-$C$44</f>
        <v>-7059.3372115787079</v>
      </c>
      <c r="E76" s="56">
        <f t="shared" si="7"/>
        <v>-7059.3372115787079</v>
      </c>
      <c r="F76" s="56">
        <f t="shared" si="7"/>
        <v>-7059.3372115787079</v>
      </c>
      <c r="G76" s="56">
        <f t="shared" si="7"/>
        <v>-7059.3372115787079</v>
      </c>
      <c r="H76" s="56">
        <f t="shared" si="7"/>
        <v>-7059.3372115787079</v>
      </c>
      <c r="I76" s="56">
        <f t="shared" si="7"/>
        <v>-7059.3372115787079</v>
      </c>
    </row>
    <row r="77" spans="2:9" ht="14.25" customHeight="1" x14ac:dyDescent="0.2">
      <c r="B77" s="82" t="s">
        <v>26</v>
      </c>
      <c r="C77" s="83">
        <f t="shared" ref="C77:I77" si="8">SUM(C74:C76)</f>
        <v>-87.68221157870812</v>
      </c>
      <c r="D77" s="83">
        <f t="shared" si="8"/>
        <v>86.609163421290759</v>
      </c>
      <c r="E77" s="83">
        <f t="shared" si="8"/>
        <v>265.2578227962922</v>
      </c>
      <c r="F77" s="83">
        <f t="shared" si="8"/>
        <v>448.37269865566577</v>
      </c>
      <c r="G77" s="83">
        <f t="shared" si="8"/>
        <v>636.06544641152504</v>
      </c>
      <c r="H77" s="83">
        <f t="shared" si="8"/>
        <v>828.45051286128091</v>
      </c>
      <c r="I77" s="84">
        <f t="shared" si="8"/>
        <v>1025.6452059722778</v>
      </c>
    </row>
    <row r="78" spans="2:9" s="11" customFormat="1" ht="8.25" customHeight="1" thickBot="1" x14ac:dyDescent="0.25">
      <c r="B78" s="77"/>
      <c r="C78" s="76"/>
      <c r="D78" s="76"/>
      <c r="E78" s="76"/>
      <c r="F78" s="76"/>
      <c r="G78" s="76"/>
      <c r="H78" s="76"/>
      <c r="I78" s="76"/>
    </row>
    <row r="79" spans="2:9" s="11" customFormat="1" ht="15" customHeight="1" x14ac:dyDescent="0.2">
      <c r="B79" s="17" t="s">
        <v>57</v>
      </c>
      <c r="C79" s="60"/>
      <c r="D79" s="60"/>
      <c r="E79" s="60"/>
      <c r="F79" s="60"/>
      <c r="G79" s="60"/>
      <c r="H79" s="60"/>
      <c r="I79" s="60"/>
    </row>
    <row r="80" spans="2:9" ht="14.25" customHeight="1" x14ac:dyDescent="0.2">
      <c r="B80" s="13" t="s">
        <v>43</v>
      </c>
      <c r="C80" s="56">
        <f>IPMT($C$7,C$63,$C$9,$C$19)-$C$44</f>
        <v>-5372.64</v>
      </c>
      <c r="D80" s="56">
        <f t="shared" ref="D80:I80" si="9">IPMT($C$7,D$63,$C$9,$C$19)-$C$44</f>
        <v>-5271.0722108705031</v>
      </c>
      <c r="E80" s="56">
        <f t="shared" si="9"/>
        <v>-5163.6744306449737</v>
      </c>
      <c r="F80" s="56">
        <f t="shared" si="9"/>
        <v>-5050.1120178344981</v>
      </c>
      <c r="G80" s="56">
        <f t="shared" si="9"/>
        <v>-4930.0311225287032</v>
      </c>
      <c r="H80" s="56">
        <f t="shared" si="9"/>
        <v>-4803.0575838323539</v>
      </c>
      <c r="I80" s="56">
        <f t="shared" si="9"/>
        <v>-4668.7957640148343</v>
      </c>
    </row>
    <row r="81" spans="1:9" ht="14.25" customHeight="1" x14ac:dyDescent="0.2">
      <c r="B81" s="9" t="s">
        <v>58</v>
      </c>
      <c r="C81" s="74">
        <f>+C80+C67+C66</f>
        <v>1599.0149999999994</v>
      </c>
      <c r="D81" s="74">
        <f t="shared" ref="D81:I81" si="10">+D80+D67+D66</f>
        <v>1874.8741641294964</v>
      </c>
      <c r="E81" s="74">
        <f t="shared" si="10"/>
        <v>2160.9206037300264</v>
      </c>
      <c r="F81" s="74">
        <f t="shared" si="10"/>
        <v>2457.5978923998755</v>
      </c>
      <c r="G81" s="74">
        <f t="shared" si="10"/>
        <v>2765.3715354615288</v>
      </c>
      <c r="H81" s="74">
        <f t="shared" si="10"/>
        <v>3084.7301406076349</v>
      </c>
      <c r="I81" s="73">
        <f t="shared" si="10"/>
        <v>3416.1866535361514</v>
      </c>
    </row>
    <row r="82" spans="1:9" ht="14.25" customHeight="1" thickBot="1" x14ac:dyDescent="0.25">
      <c r="B82" s="63"/>
      <c r="C82" s="64"/>
      <c r="D82" s="64"/>
      <c r="E82" s="64"/>
      <c r="F82" s="64"/>
      <c r="G82" s="64"/>
      <c r="H82" s="64"/>
      <c r="I82" s="64"/>
    </row>
    <row r="83" spans="1:9" ht="14.25" customHeight="1" x14ac:dyDescent="0.2">
      <c r="B83" s="14" t="s">
        <v>53</v>
      </c>
      <c r="C83" s="61"/>
      <c r="D83" s="61"/>
      <c r="E83" s="61"/>
      <c r="F83" s="61"/>
      <c r="G83" s="61"/>
      <c r="H83" s="61"/>
      <c r="I83" s="61"/>
    </row>
    <row r="84" spans="1:9" ht="14.25" customHeight="1" x14ac:dyDescent="0.2">
      <c r="B84" s="13" t="s">
        <v>44</v>
      </c>
      <c r="C84" s="56">
        <f>($C$14+$C$17)*(1+$C$11)^(C$63-$C$63+1)</f>
        <v>118170</v>
      </c>
      <c r="D84" s="56">
        <f t="shared" ref="D84:I84" si="11">($C$14+$C$17)*(1+$C$11)^(D$63-$C$63+1)</f>
        <v>119351.7</v>
      </c>
      <c r="E84" s="56">
        <f t="shared" si="11"/>
        <v>120545.21699999999</v>
      </c>
      <c r="F84" s="56">
        <f t="shared" si="11"/>
        <v>121750.66917000001</v>
      </c>
      <c r="G84" s="56">
        <f t="shared" si="11"/>
        <v>122968.17586169999</v>
      </c>
      <c r="H84" s="56">
        <f t="shared" si="11"/>
        <v>124197.85762031701</v>
      </c>
      <c r="I84" s="56">
        <f t="shared" si="11"/>
        <v>125439.83619652015</v>
      </c>
    </row>
    <row r="85" spans="1:9" ht="6.75" customHeight="1" x14ac:dyDescent="0.2">
      <c r="B85" s="13"/>
      <c r="C85" s="27"/>
      <c r="D85" s="56"/>
      <c r="E85" s="56"/>
      <c r="F85" s="56"/>
      <c r="G85" s="56"/>
      <c r="H85" s="56"/>
      <c r="I85" s="56"/>
    </row>
    <row r="86" spans="1:9" ht="14.25" customHeight="1" x14ac:dyDescent="0.2">
      <c r="B86" s="13" t="s">
        <v>46</v>
      </c>
      <c r="C86" s="56">
        <f>-$C$19</f>
        <v>-93600</v>
      </c>
      <c r="D86" s="56">
        <f t="shared" ref="D86:I86" si="12">-$C$19</f>
        <v>-93600</v>
      </c>
      <c r="E86" s="56">
        <f t="shared" si="12"/>
        <v>-93600</v>
      </c>
      <c r="F86" s="56">
        <f t="shared" si="12"/>
        <v>-93600</v>
      </c>
      <c r="G86" s="56">
        <f t="shared" si="12"/>
        <v>-93600</v>
      </c>
      <c r="H86" s="56">
        <f t="shared" si="12"/>
        <v>-93600</v>
      </c>
      <c r="I86" s="56">
        <f t="shared" si="12"/>
        <v>-93600</v>
      </c>
    </row>
    <row r="87" spans="1:9" ht="14.25" customHeight="1" x14ac:dyDescent="0.2">
      <c r="B87" s="13" t="s">
        <v>52</v>
      </c>
      <c r="C87" s="56">
        <f>+$C$20</f>
        <v>25740</v>
      </c>
      <c r="D87" s="56">
        <f t="shared" ref="D87:I87" si="13">+$C$20</f>
        <v>25740</v>
      </c>
      <c r="E87" s="56">
        <f t="shared" si="13"/>
        <v>25740</v>
      </c>
      <c r="F87" s="56">
        <f t="shared" si="13"/>
        <v>25740</v>
      </c>
      <c r="G87" s="56">
        <f t="shared" si="13"/>
        <v>25740</v>
      </c>
      <c r="H87" s="56">
        <f t="shared" si="13"/>
        <v>25740</v>
      </c>
      <c r="I87" s="56">
        <f t="shared" si="13"/>
        <v>25740</v>
      </c>
    </row>
    <row r="88" spans="1:9" ht="14.25" customHeight="1" x14ac:dyDescent="0.2">
      <c r="B88" s="68" t="s">
        <v>45</v>
      </c>
      <c r="C88" s="69">
        <f>+C86+C84-C87</f>
        <v>-1170</v>
      </c>
      <c r="D88" s="69">
        <f t="shared" ref="D88:I88" si="14">+D86+D84-D87</f>
        <v>11.69999999999709</v>
      </c>
      <c r="E88" s="69">
        <f t="shared" si="14"/>
        <v>1205.2169999999896</v>
      </c>
      <c r="F88" s="69">
        <f t="shared" si="14"/>
        <v>2410.6691700000083</v>
      </c>
      <c r="G88" s="69">
        <f t="shared" si="14"/>
        <v>3628.1758616999869</v>
      </c>
      <c r="H88" s="69">
        <f t="shared" si="14"/>
        <v>4857.8576203170087</v>
      </c>
      <c r="I88" s="69">
        <f t="shared" si="14"/>
        <v>6099.8361965201475</v>
      </c>
    </row>
    <row r="89" spans="1:9" ht="6.75" customHeight="1" x14ac:dyDescent="0.2">
      <c r="B89" s="58"/>
      <c r="C89" s="59"/>
      <c r="D89" s="59"/>
      <c r="E89" s="59"/>
      <c r="F89" s="59"/>
      <c r="G89" s="59"/>
      <c r="H89" s="59"/>
      <c r="I89" s="59"/>
    </row>
    <row r="90" spans="1:9" ht="14.25" customHeight="1" x14ac:dyDescent="0.2">
      <c r="B90" s="13" t="s">
        <v>47</v>
      </c>
      <c r="C90" s="56">
        <f t="shared" ref="C90:I90" si="15">IPMT($C$7,C$63+1,$C$9,$C$19)/$C$7</f>
        <v>-91830.526321785772</v>
      </c>
      <c r="D90" s="56">
        <f t="shared" si="15"/>
        <v>-89959.484854442053</v>
      </c>
      <c r="E90" s="56">
        <f t="shared" si="15"/>
        <v>-87981.045606872794</v>
      </c>
      <c r="F90" s="56">
        <f t="shared" si="15"/>
        <v>-85889.043946493082</v>
      </c>
      <c r="G90" s="56">
        <f t="shared" si="15"/>
        <v>-83676.961390807555</v>
      </c>
      <c r="H90" s="56">
        <f t="shared" si="15"/>
        <v>-81337.905296425684</v>
      </c>
      <c r="I90" s="56">
        <f t="shared" si="15"/>
        <v>-78864.587382226309</v>
      </c>
    </row>
    <row r="91" spans="1:9" ht="14.25" customHeight="1" x14ac:dyDescent="0.2">
      <c r="B91" s="13" t="s">
        <v>52</v>
      </c>
      <c r="C91" s="56">
        <f>+$C$20</f>
        <v>25740</v>
      </c>
      <c r="D91" s="56">
        <f t="shared" ref="D91:I91" si="16">+$C$20</f>
        <v>25740</v>
      </c>
      <c r="E91" s="56">
        <f t="shared" si="16"/>
        <v>25740</v>
      </c>
      <c r="F91" s="56">
        <f t="shared" si="16"/>
        <v>25740</v>
      </c>
      <c r="G91" s="56">
        <f t="shared" si="16"/>
        <v>25740</v>
      </c>
      <c r="H91" s="56">
        <f t="shared" si="16"/>
        <v>25740</v>
      </c>
      <c r="I91" s="56">
        <f t="shared" si="16"/>
        <v>25740</v>
      </c>
    </row>
    <row r="92" spans="1:9" ht="14.25" customHeight="1" x14ac:dyDescent="0.2">
      <c r="B92" s="68" t="s">
        <v>48</v>
      </c>
      <c r="C92" s="69">
        <f>+C90+C84-C91</f>
        <v>599.47367821422813</v>
      </c>
      <c r="D92" s="69">
        <f t="shared" ref="D92:I92" si="17">+D90+D84-D91</f>
        <v>3652.2151455579442</v>
      </c>
      <c r="E92" s="69">
        <f t="shared" si="17"/>
        <v>6824.1713931271952</v>
      </c>
      <c r="F92" s="69">
        <f t="shared" si="17"/>
        <v>10121.625223506926</v>
      </c>
      <c r="G92" s="69">
        <f t="shared" si="17"/>
        <v>13551.214470892432</v>
      </c>
      <c r="H92" s="69">
        <f t="shared" si="17"/>
        <v>17119.952323891324</v>
      </c>
      <c r="I92" s="69">
        <f t="shared" si="17"/>
        <v>20835.248814293838</v>
      </c>
    </row>
    <row r="93" spans="1:9" s="11" customFormat="1" ht="9.75" customHeight="1" x14ac:dyDescent="0.2">
      <c r="B93" s="13"/>
      <c r="C93" s="70"/>
      <c r="D93" s="60"/>
      <c r="E93" s="60"/>
      <c r="F93" s="60"/>
      <c r="G93" s="60"/>
      <c r="H93" s="60"/>
      <c r="I93" s="60"/>
    </row>
    <row r="94" spans="1:9" ht="3.95" customHeight="1" x14ac:dyDescent="0.2">
      <c r="A94" s="7"/>
      <c r="B94" s="7"/>
      <c r="C94" s="7"/>
      <c r="D94" s="7"/>
      <c r="E94" s="22"/>
      <c r="F94" s="7"/>
      <c r="G94" s="7"/>
      <c r="H94" s="7"/>
      <c r="I94" s="7"/>
    </row>
    <row r="95" spans="1:9" x14ac:dyDescent="0.2">
      <c r="C95" s="27"/>
      <c r="D95" s="27"/>
      <c r="F95" s="27"/>
      <c r="G95" s="27"/>
      <c r="H95" s="27"/>
      <c r="I95" s="27"/>
    </row>
    <row r="96" spans="1:9" x14ac:dyDescent="0.2">
      <c r="C96" s="75"/>
      <c r="D96" s="75"/>
      <c r="E96" s="75"/>
      <c r="F96" s="75"/>
      <c r="G96" s="75"/>
      <c r="H96" s="75"/>
      <c r="I96" s="75"/>
    </row>
    <row r="97" spans="4:4" x14ac:dyDescent="0.2">
      <c r="D97" s="57"/>
    </row>
  </sheetData>
  <mergeCells count="1">
    <mergeCell ref="B2:I2"/>
  </mergeCells>
  <conditionalFormatting sqref="D61">
    <cfRule type="expression" dxfId="35" priority="7">
      <formula>D61&gt;0</formula>
    </cfRule>
    <cfRule type="expression" dxfId="34" priority="8">
      <formula>D61&lt;0</formula>
    </cfRule>
  </conditionalFormatting>
  <conditionalFormatting sqref="E61">
    <cfRule type="expression" dxfId="33" priority="5">
      <formula>E61&gt;0</formula>
    </cfRule>
    <cfRule type="expression" dxfId="32" priority="6">
      <formula>E61&lt;0</formula>
    </cfRule>
  </conditionalFormatting>
  <conditionalFormatting sqref="C69:I69">
    <cfRule type="expression" dxfId="31" priority="3">
      <formula>C69&gt;0</formula>
    </cfRule>
    <cfRule type="expression" dxfId="30" priority="4">
      <formula>C69&lt;0</formula>
    </cfRule>
  </conditionalFormatting>
  <conditionalFormatting sqref="C77:I77">
    <cfRule type="expression" dxfId="29" priority="1">
      <formula>C77&gt;0</formula>
    </cfRule>
    <cfRule type="expression" dxfId="28" priority="2">
      <formula>C77&lt;0</formula>
    </cfRule>
  </conditionalFormatting>
  <printOptions horizontalCentered="1"/>
  <pageMargins left="0.75" right="0.75" top="1" bottom="1" header="0.5" footer="0.5"/>
  <pageSetup scale="8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pageSetUpPr fitToPage="1"/>
  </sheetPr>
  <dimension ref="A1:I97"/>
  <sheetViews>
    <sheetView showGridLines="0" workbookViewId="0">
      <pane xSplit="3" ySplit="2" topLeftCell="D18" activePane="bottomRight" state="frozen"/>
      <selection pane="topRight" activeCell="D1" sqref="D1"/>
      <selection pane="bottomLeft" activeCell="A3" sqref="A3"/>
      <selection pane="bottomRight" activeCell="C35" sqref="C35"/>
    </sheetView>
  </sheetViews>
  <sheetFormatPr defaultColWidth="9.140625" defaultRowHeight="12.75" x14ac:dyDescent="0.2"/>
  <cols>
    <col min="1" max="1" width="1.85546875" style="1" customWidth="1"/>
    <col min="2" max="2" width="24.140625" style="1" customWidth="1"/>
    <col min="3" max="3" width="16.5703125" style="1" customWidth="1"/>
    <col min="4" max="4" width="15" style="1" customWidth="1"/>
    <col min="5" max="5" width="15" style="27" customWidth="1"/>
    <col min="6" max="6" width="15" style="1" customWidth="1"/>
    <col min="7" max="9" width="15.5703125" style="1" customWidth="1"/>
    <col min="10" max="16384" width="9.140625" style="1"/>
  </cols>
  <sheetData>
    <row r="1" spans="1:9" ht="45" customHeight="1" thickBot="1" x14ac:dyDescent="0.25">
      <c r="A1" s="40"/>
      <c r="B1" s="32" t="s">
        <v>1</v>
      </c>
      <c r="C1" s="21"/>
      <c r="D1" s="21"/>
      <c r="E1" s="21"/>
      <c r="F1" s="21"/>
      <c r="G1" s="21"/>
      <c r="H1" s="19"/>
      <c r="I1" s="18"/>
    </row>
    <row r="2" spans="1:9" ht="22.5" customHeight="1" x14ac:dyDescent="0.2">
      <c r="A2" s="20"/>
      <c r="B2" s="87" t="s">
        <v>60</v>
      </c>
      <c r="C2" s="87"/>
      <c r="D2" s="88"/>
      <c r="E2" s="88"/>
      <c r="F2" s="88"/>
      <c r="G2" s="88"/>
      <c r="H2" s="88"/>
      <c r="I2" s="88"/>
    </row>
    <row r="3" spans="1:9" ht="8.1" customHeight="1" thickBot="1" x14ac:dyDescent="0.25">
      <c r="B3" s="12"/>
      <c r="C3" s="12"/>
      <c r="D3" s="2"/>
      <c r="E3" s="23"/>
      <c r="F3" s="8"/>
      <c r="G3" s="2"/>
      <c r="H3" s="2"/>
      <c r="I3" s="8"/>
    </row>
    <row r="4" spans="1:9" ht="17.100000000000001" customHeight="1" x14ac:dyDescent="0.2">
      <c r="B4" s="41" t="s">
        <v>63</v>
      </c>
      <c r="C4" s="16"/>
      <c r="E4" s="1"/>
    </row>
    <row r="5" spans="1:9" x14ac:dyDescent="0.2">
      <c r="B5" s="65" t="s">
        <v>5</v>
      </c>
      <c r="C5" s="33">
        <v>0.8</v>
      </c>
      <c r="E5" s="1"/>
    </row>
    <row r="6" spans="1:9" x14ac:dyDescent="0.2">
      <c r="B6" s="66" t="s">
        <v>6</v>
      </c>
      <c r="C6" s="34">
        <v>0.05</v>
      </c>
      <c r="D6" s="39"/>
      <c r="E6" s="1"/>
    </row>
    <row r="7" spans="1:9" x14ac:dyDescent="0.2">
      <c r="B7" s="66" t="s">
        <v>7</v>
      </c>
      <c r="C7" s="85">
        <v>5.74E-2</v>
      </c>
      <c r="E7" s="1"/>
    </row>
    <row r="8" spans="1:9" x14ac:dyDescent="0.2">
      <c r="B8" s="66" t="s">
        <v>24</v>
      </c>
      <c r="C8" s="34">
        <v>0.1</v>
      </c>
      <c r="E8" s="1"/>
    </row>
    <row r="9" spans="1:9" x14ac:dyDescent="0.2">
      <c r="A9" s="2"/>
      <c r="B9" s="66" t="s">
        <v>54</v>
      </c>
      <c r="C9" s="43">
        <v>25</v>
      </c>
      <c r="E9" s="1"/>
    </row>
    <row r="10" spans="1:9" x14ac:dyDescent="0.2">
      <c r="A10" s="2"/>
      <c r="B10" s="66" t="s">
        <v>41</v>
      </c>
      <c r="C10" s="34">
        <v>0.03</v>
      </c>
      <c r="E10" s="1"/>
    </row>
    <row r="11" spans="1:9" x14ac:dyDescent="0.2">
      <c r="A11" s="2"/>
      <c r="B11" s="67" t="s">
        <v>40</v>
      </c>
      <c r="C11" s="34">
        <v>7.0000000000000007E-2</v>
      </c>
      <c r="D11" s="1" t="s">
        <v>65</v>
      </c>
      <c r="E11" s="1"/>
    </row>
    <row r="12" spans="1:9" ht="13.5" thickBot="1" x14ac:dyDescent="0.25">
      <c r="B12" s="4"/>
      <c r="C12" s="4"/>
      <c r="E12" s="1"/>
    </row>
    <row r="13" spans="1:9" ht="14.25" x14ac:dyDescent="0.2">
      <c r="B13" s="41" t="s">
        <v>59</v>
      </c>
      <c r="C13" s="16"/>
      <c r="E13" s="1"/>
    </row>
    <row r="14" spans="1:9" x14ac:dyDescent="0.2">
      <c r="B14" s="3" t="s">
        <v>3</v>
      </c>
      <c r="C14" s="35">
        <v>650000</v>
      </c>
      <c r="D14" s="86" t="s">
        <v>66</v>
      </c>
      <c r="E14" s="1"/>
    </row>
    <row r="15" spans="1:9" x14ac:dyDescent="0.2">
      <c r="B15" s="3" t="s">
        <v>8</v>
      </c>
      <c r="C15" s="31">
        <f>C6*C14</f>
        <v>32500</v>
      </c>
      <c r="E15" s="1"/>
    </row>
    <row r="16" spans="1:9" x14ac:dyDescent="0.2">
      <c r="B16" s="3" t="s">
        <v>62</v>
      </c>
      <c r="C16" s="35">
        <v>0</v>
      </c>
      <c r="E16" s="1"/>
    </row>
    <row r="17" spans="2:5" x14ac:dyDescent="0.2">
      <c r="B17" s="3" t="s">
        <v>61</v>
      </c>
      <c r="C17" s="35">
        <v>0</v>
      </c>
      <c r="E17" s="1"/>
    </row>
    <row r="18" spans="2:5" x14ac:dyDescent="0.2">
      <c r="B18" s="3" t="s">
        <v>32</v>
      </c>
      <c r="C18" s="35"/>
      <c r="E18" s="1"/>
    </row>
    <row r="19" spans="2:5" ht="13.5" thickBot="1" x14ac:dyDescent="0.25">
      <c r="B19" s="3" t="s">
        <v>2</v>
      </c>
      <c r="C19" s="47">
        <f>C14*C5</f>
        <v>520000</v>
      </c>
      <c r="E19" s="1"/>
    </row>
    <row r="20" spans="2:5" ht="13.5" thickBot="1" x14ac:dyDescent="0.25">
      <c r="B20" s="71" t="s">
        <v>9</v>
      </c>
      <c r="C20" s="48">
        <f>SUM(C14:C18)-C19</f>
        <v>162500</v>
      </c>
      <c r="D20" s="39"/>
      <c r="E20" s="1"/>
    </row>
    <row r="21" spans="2:5" ht="13.5" thickBot="1" x14ac:dyDescent="0.25">
      <c r="B21" s="3"/>
      <c r="C21" s="13"/>
      <c r="E21" s="1"/>
    </row>
    <row r="22" spans="2:5" ht="13.5" thickBot="1" x14ac:dyDescent="0.25">
      <c r="B22" s="9" t="s">
        <v>0</v>
      </c>
      <c r="C22" s="28">
        <f>SUM(C14:C18)</f>
        <v>682500</v>
      </c>
      <c r="E22" s="1"/>
    </row>
    <row r="23" spans="2:5" ht="13.5" thickBot="1" x14ac:dyDescent="0.25">
      <c r="B23" s="4"/>
      <c r="C23" s="4"/>
      <c r="E23" s="1"/>
    </row>
    <row r="24" spans="2:5" ht="14.25" x14ac:dyDescent="0.2">
      <c r="B24" s="41" t="s">
        <v>33</v>
      </c>
      <c r="C24" s="16"/>
      <c r="E24" s="1"/>
    </row>
    <row r="25" spans="2:5" x14ac:dyDescent="0.2">
      <c r="B25" s="3" t="s">
        <v>10</v>
      </c>
      <c r="C25" s="35">
        <v>480</v>
      </c>
      <c r="D25" s="1" t="s">
        <v>67</v>
      </c>
      <c r="E25" s="1"/>
    </row>
    <row r="26" spans="2:5" x14ac:dyDescent="0.2">
      <c r="B26" s="3" t="s">
        <v>12</v>
      </c>
      <c r="C26" s="38">
        <f>(+C25*52)/C14</f>
        <v>3.8399999999999997E-2</v>
      </c>
      <c r="D26" s="39"/>
      <c r="E26" s="1"/>
    </row>
    <row r="27" spans="2:5" ht="13.5" thickBot="1" x14ac:dyDescent="0.25">
      <c r="B27" s="3" t="s">
        <v>11</v>
      </c>
      <c r="C27" s="36">
        <v>1</v>
      </c>
      <c r="D27" s="39"/>
      <c r="E27" s="1"/>
    </row>
    <row r="28" spans="2:5" ht="13.5" thickBot="1" x14ac:dyDescent="0.25">
      <c r="B28" s="9" t="s">
        <v>0</v>
      </c>
      <c r="C28" s="28">
        <f>+C25*52*C27</f>
        <v>24960</v>
      </c>
      <c r="E28" s="1"/>
    </row>
    <row r="29" spans="2:5" ht="13.5" thickBot="1" x14ac:dyDescent="0.25">
      <c r="B29" s="4"/>
      <c r="C29" s="4"/>
    </row>
    <row r="30" spans="2:5" ht="14.25" x14ac:dyDescent="0.2">
      <c r="B30" s="41" t="s">
        <v>14</v>
      </c>
      <c r="C30" s="16"/>
    </row>
    <row r="31" spans="2:5" x14ac:dyDescent="0.2">
      <c r="B31" s="6" t="s">
        <v>17</v>
      </c>
      <c r="C31" s="35">
        <v>500</v>
      </c>
    </row>
    <row r="32" spans="2:5" x14ac:dyDescent="0.2">
      <c r="B32" s="3" t="s">
        <v>18</v>
      </c>
      <c r="C32" s="35">
        <v>1400</v>
      </c>
    </row>
    <row r="33" spans="2:5" x14ac:dyDescent="0.2">
      <c r="B33" s="3" t="s">
        <v>19</v>
      </c>
      <c r="C33" s="35">
        <v>0</v>
      </c>
    </row>
    <row r="34" spans="2:5" x14ac:dyDescent="0.2">
      <c r="B34" s="3" t="s">
        <v>20</v>
      </c>
      <c r="C34" s="35">
        <v>1500</v>
      </c>
    </row>
    <row r="35" spans="2:5" x14ac:dyDescent="0.2">
      <c r="B35" s="3" t="s">
        <v>21</v>
      </c>
      <c r="C35" s="35">
        <v>300</v>
      </c>
    </row>
    <row r="36" spans="2:5" x14ac:dyDescent="0.2">
      <c r="B36" s="3" t="s">
        <v>25</v>
      </c>
      <c r="C36" s="35">
        <v>0</v>
      </c>
    </row>
    <row r="37" spans="2:5" x14ac:dyDescent="0.2">
      <c r="B37" s="3" t="s">
        <v>34</v>
      </c>
      <c r="C37" s="37">
        <v>0.08</v>
      </c>
    </row>
    <row r="38" spans="2:5" x14ac:dyDescent="0.2">
      <c r="B38" s="3" t="s">
        <v>23</v>
      </c>
      <c r="C38" s="31">
        <f>(C25*C27*52)*C37</f>
        <v>1996.8</v>
      </c>
    </row>
    <row r="39" spans="2:5" x14ac:dyDescent="0.2">
      <c r="B39" s="3" t="s">
        <v>22</v>
      </c>
      <c r="C39" s="47">
        <f>+C38*C8</f>
        <v>199.68</v>
      </c>
    </row>
    <row r="40" spans="2:5" x14ac:dyDescent="0.2">
      <c r="B40" s="9" t="s">
        <v>0</v>
      </c>
      <c r="C40" s="49">
        <f>SUM(C31:C39)</f>
        <v>5896.56</v>
      </c>
    </row>
    <row r="41" spans="2:5" ht="13.5" thickBot="1" x14ac:dyDescent="0.25">
      <c r="B41" s="4"/>
      <c r="C41" s="4"/>
      <c r="D41" s="5"/>
      <c r="E41" s="25"/>
    </row>
    <row r="42" spans="2:5" ht="14.25" x14ac:dyDescent="0.2">
      <c r="B42" s="41" t="s">
        <v>13</v>
      </c>
      <c r="C42" s="10"/>
      <c r="D42" s="45" t="s">
        <v>35</v>
      </c>
      <c r="E42" s="45" t="s">
        <v>36</v>
      </c>
    </row>
    <row r="43" spans="2:5" x14ac:dyDescent="0.2">
      <c r="B43" s="50" t="s">
        <v>15</v>
      </c>
      <c r="D43" s="31">
        <f>+C19*C7</f>
        <v>29848</v>
      </c>
      <c r="E43" s="31">
        <f>-PMT(C7/12,C9*12,C19)*12</f>
        <v>39218.540064326153</v>
      </c>
    </row>
    <row r="44" spans="2:5" x14ac:dyDescent="0.2">
      <c r="B44" s="13" t="s">
        <v>16</v>
      </c>
      <c r="C44" s="42">
        <v>0</v>
      </c>
      <c r="E44" s="1"/>
    </row>
    <row r="45" spans="2:5" ht="13.5" thickBot="1" x14ac:dyDescent="0.25">
      <c r="E45" s="1"/>
    </row>
    <row r="46" spans="2:5" ht="14.25" x14ac:dyDescent="0.2">
      <c r="B46" s="41" t="s">
        <v>38</v>
      </c>
      <c r="C46" s="16"/>
      <c r="D46" s="15"/>
      <c r="E46" s="1"/>
    </row>
    <row r="47" spans="2:5" x14ac:dyDescent="0.2">
      <c r="B47" s="6" t="s">
        <v>4</v>
      </c>
      <c r="C47" s="13"/>
      <c r="D47" s="31">
        <f>+C28</f>
        <v>24960</v>
      </c>
      <c r="E47" s="1"/>
    </row>
    <row r="48" spans="2:5" x14ac:dyDescent="0.2">
      <c r="B48" s="3" t="s">
        <v>14</v>
      </c>
      <c r="C48" s="13"/>
      <c r="D48" s="46">
        <f>-C40</f>
        <v>-5896.56</v>
      </c>
      <c r="E48" s="1"/>
    </row>
    <row r="49" spans="2:9" x14ac:dyDescent="0.2">
      <c r="B49" s="3" t="s">
        <v>37</v>
      </c>
      <c r="C49" s="13"/>
      <c r="D49" s="52">
        <f>-C44-D43</f>
        <v>-29848</v>
      </c>
      <c r="E49" s="1"/>
    </row>
    <row r="50" spans="2:9" x14ac:dyDescent="0.2">
      <c r="B50" s="9" t="s">
        <v>39</v>
      </c>
      <c r="C50" s="51"/>
      <c r="D50" s="54">
        <f>SUM(D47:D49)</f>
        <v>-10784.560000000001</v>
      </c>
      <c r="E50" s="1"/>
    </row>
    <row r="51" spans="2:9" ht="13.5" thickBot="1" x14ac:dyDescent="0.25">
      <c r="B51" s="4"/>
      <c r="C51" s="4"/>
      <c r="D51" s="5"/>
      <c r="E51" s="25"/>
    </row>
    <row r="52" spans="2:9" ht="14.25" x14ac:dyDescent="0.2">
      <c r="B52" s="41" t="s">
        <v>26</v>
      </c>
      <c r="C52" s="16"/>
      <c r="D52" s="15" t="str">
        <f>+D42</f>
        <v>Interest Only</v>
      </c>
      <c r="E52" s="15" t="str">
        <f>+E42</f>
        <v>P&amp;I Loan</v>
      </c>
    </row>
    <row r="53" spans="2:9" x14ac:dyDescent="0.2">
      <c r="B53" s="6" t="s">
        <v>4</v>
      </c>
      <c r="C53" s="13"/>
      <c r="D53" s="31">
        <f>+D47</f>
        <v>24960</v>
      </c>
      <c r="E53" s="31">
        <f>+C28</f>
        <v>24960</v>
      </c>
    </row>
    <row r="54" spans="2:9" x14ac:dyDescent="0.2">
      <c r="B54" s="3" t="s">
        <v>14</v>
      </c>
      <c r="C54" s="13"/>
      <c r="D54" s="46">
        <f>+D48</f>
        <v>-5896.56</v>
      </c>
      <c r="E54" s="46">
        <f>-C40</f>
        <v>-5896.56</v>
      </c>
    </row>
    <row r="55" spans="2:9" x14ac:dyDescent="0.2">
      <c r="B55" s="3" t="s">
        <v>37</v>
      </c>
      <c r="C55" s="13"/>
      <c r="D55" s="52">
        <f>+D49</f>
        <v>-29848</v>
      </c>
      <c r="E55" s="52">
        <f>-E43-C44</f>
        <v>-39218.540064326153</v>
      </c>
    </row>
    <row r="56" spans="2:9" x14ac:dyDescent="0.2">
      <c r="B56" s="9" t="s">
        <v>56</v>
      </c>
      <c r="C56" s="51"/>
      <c r="D56" s="53">
        <f>SUM(D53:D55)</f>
        <v>-10784.560000000001</v>
      </c>
      <c r="E56" s="54">
        <f>SUM(E53:E55)</f>
        <v>-20155.100064326154</v>
      </c>
    </row>
    <row r="57" spans="2:9" ht="13.5" thickBot="1" x14ac:dyDescent="0.25">
      <c r="B57" s="4"/>
      <c r="C57" s="4"/>
      <c r="D57" s="5"/>
      <c r="E57" s="25"/>
    </row>
    <row r="58" spans="2:9" ht="15" thickBot="1" x14ac:dyDescent="0.25">
      <c r="B58" s="14" t="s">
        <v>27</v>
      </c>
      <c r="C58" s="15" t="s">
        <v>29</v>
      </c>
      <c r="D58" s="24" t="s">
        <v>30</v>
      </c>
      <c r="E58" s="24" t="s">
        <v>30</v>
      </c>
    </row>
    <row r="59" spans="2:9" ht="15" thickBot="1" x14ac:dyDescent="0.25">
      <c r="B59" s="55"/>
      <c r="C59" s="15"/>
      <c r="D59" s="72" t="str">
        <f>+D52</f>
        <v>Interest Only</v>
      </c>
      <c r="E59" s="72" t="str">
        <f>+E52</f>
        <v>P&amp;I Loan</v>
      </c>
    </row>
    <row r="60" spans="2:9" ht="21" customHeight="1" x14ac:dyDescent="0.2">
      <c r="B60" s="13" t="s">
        <v>28</v>
      </c>
      <c r="C60" s="29">
        <f>C20</f>
        <v>162500</v>
      </c>
      <c r="D60" s="26">
        <f>+D56</f>
        <v>-10784.560000000001</v>
      </c>
      <c r="E60" s="26">
        <f>E56</f>
        <v>-20155.100064326154</v>
      </c>
    </row>
    <row r="61" spans="2:9" ht="19.5" customHeight="1" x14ac:dyDescent="0.2">
      <c r="B61" s="13" t="s">
        <v>31</v>
      </c>
      <c r="C61" s="13"/>
      <c r="D61" s="30">
        <f>D60/C60</f>
        <v>-6.636652307692309E-2</v>
      </c>
      <c r="E61" s="30">
        <f>E60/C60</f>
        <v>-0.12403138501123787</v>
      </c>
    </row>
    <row r="62" spans="2:9" ht="21" customHeight="1" thickBot="1" x14ac:dyDescent="0.25">
      <c r="B62" s="13"/>
      <c r="C62" s="13"/>
      <c r="D62" s="13"/>
      <c r="E62" s="13"/>
    </row>
    <row r="63" spans="2:9" ht="21" customHeight="1" thickBot="1" x14ac:dyDescent="0.25">
      <c r="B63" s="14" t="s">
        <v>51</v>
      </c>
      <c r="C63" s="44">
        <v>1</v>
      </c>
      <c r="D63" s="44">
        <f t="shared" ref="D63:I63" si="0">+C63+1</f>
        <v>2</v>
      </c>
      <c r="E63" s="44">
        <f t="shared" si="0"/>
        <v>3</v>
      </c>
      <c r="F63" s="44">
        <f t="shared" si="0"/>
        <v>4</v>
      </c>
      <c r="G63" s="44">
        <f t="shared" si="0"/>
        <v>5</v>
      </c>
      <c r="H63" s="44">
        <f t="shared" si="0"/>
        <v>6</v>
      </c>
      <c r="I63" s="44">
        <f t="shared" si="0"/>
        <v>7</v>
      </c>
    </row>
    <row r="64" spans="2:9" s="11" customFormat="1" ht="6" customHeight="1" x14ac:dyDescent="0.2">
      <c r="B64" s="79"/>
      <c r="C64" s="78"/>
      <c r="D64" s="78"/>
      <c r="E64" s="78"/>
      <c r="F64" s="78"/>
      <c r="G64" s="78"/>
      <c r="H64" s="78"/>
      <c r="I64" s="78"/>
    </row>
    <row r="65" spans="2:9" ht="14.25" customHeight="1" x14ac:dyDescent="0.2">
      <c r="B65" s="80" t="s">
        <v>64</v>
      </c>
      <c r="C65" s="81"/>
      <c r="D65" s="81"/>
      <c r="E65" s="81"/>
      <c r="F65" s="81"/>
      <c r="G65" s="81"/>
      <c r="H65" s="81"/>
      <c r="I65" s="81"/>
    </row>
    <row r="66" spans="2:9" ht="14.25" customHeight="1" x14ac:dyDescent="0.2">
      <c r="B66" s="13" t="s">
        <v>42</v>
      </c>
      <c r="C66" s="27">
        <f>+C28</f>
        <v>24960</v>
      </c>
      <c r="D66" s="56">
        <f t="shared" ref="D66:I66" si="1">$C$28*(1+$C$10)^(D$63-$C$63)</f>
        <v>25708.799999999999</v>
      </c>
      <c r="E66" s="56">
        <f t="shared" si="1"/>
        <v>26480.063999999998</v>
      </c>
      <c r="F66" s="56">
        <f t="shared" si="1"/>
        <v>27274.465919999999</v>
      </c>
      <c r="G66" s="56">
        <f t="shared" si="1"/>
        <v>28092.6998976</v>
      </c>
      <c r="H66" s="56">
        <f t="shared" si="1"/>
        <v>28935.480894527995</v>
      </c>
      <c r="I66" s="56">
        <f t="shared" si="1"/>
        <v>29803.545321363839</v>
      </c>
    </row>
    <row r="67" spans="2:9" ht="14.25" customHeight="1" x14ac:dyDescent="0.2">
      <c r="B67" s="13" t="s">
        <v>14</v>
      </c>
      <c r="C67" s="56">
        <f>-C40</f>
        <v>-5896.56</v>
      </c>
      <c r="D67" s="56">
        <f t="shared" ref="D67:I67" si="2">-$C$40*(1+$C$10)^(D$63-$C$63)</f>
        <v>-6073.4568000000008</v>
      </c>
      <c r="E67" s="56">
        <f t="shared" si="2"/>
        <v>-6255.6605040000004</v>
      </c>
      <c r="F67" s="56">
        <f t="shared" si="2"/>
        <v>-6443.3303191200002</v>
      </c>
      <c r="G67" s="56">
        <f t="shared" si="2"/>
        <v>-6636.6302286935997</v>
      </c>
      <c r="H67" s="56">
        <f t="shared" si="2"/>
        <v>-6835.7291355544075</v>
      </c>
      <c r="I67" s="56">
        <f t="shared" si="2"/>
        <v>-7040.8010096210401</v>
      </c>
    </row>
    <row r="68" spans="2:9" ht="14.25" customHeight="1" x14ac:dyDescent="0.2">
      <c r="B68" s="13" t="s">
        <v>43</v>
      </c>
      <c r="C68" s="56">
        <f>+$D$49</f>
        <v>-29848</v>
      </c>
      <c r="D68" s="56">
        <f t="shared" ref="D68:I68" si="3">+$D$49</f>
        <v>-29848</v>
      </c>
      <c r="E68" s="56">
        <f t="shared" si="3"/>
        <v>-29848</v>
      </c>
      <c r="F68" s="56">
        <f t="shared" si="3"/>
        <v>-29848</v>
      </c>
      <c r="G68" s="56">
        <f t="shared" si="3"/>
        <v>-29848</v>
      </c>
      <c r="H68" s="56">
        <f t="shared" si="3"/>
        <v>-29848</v>
      </c>
      <c r="I68" s="56">
        <f t="shared" si="3"/>
        <v>-29848</v>
      </c>
    </row>
    <row r="69" spans="2:9" ht="14.25" customHeight="1" x14ac:dyDescent="0.2">
      <c r="B69" s="82" t="s">
        <v>26</v>
      </c>
      <c r="C69" s="83">
        <f>SUM(C66:C68)</f>
        <v>-10784.560000000001</v>
      </c>
      <c r="D69" s="83">
        <f t="shared" ref="D69:I69" si="4">SUM(D66:D68)</f>
        <v>-10212.656800000001</v>
      </c>
      <c r="E69" s="83">
        <f t="shared" si="4"/>
        <v>-9623.596504000001</v>
      </c>
      <c r="F69" s="83">
        <f t="shared" si="4"/>
        <v>-9016.8643991200006</v>
      </c>
      <c r="G69" s="83">
        <f t="shared" si="4"/>
        <v>-8391.9303310936011</v>
      </c>
      <c r="H69" s="83">
        <f t="shared" si="4"/>
        <v>-7748.2482410264129</v>
      </c>
      <c r="I69" s="84">
        <f t="shared" si="4"/>
        <v>-7085.2556882572026</v>
      </c>
    </row>
    <row r="70" spans="2:9" s="62" customFormat="1" ht="15" customHeight="1" x14ac:dyDescent="0.15">
      <c r="B70" s="62" t="s">
        <v>55</v>
      </c>
    </row>
    <row r="71" spans="2:9" s="62" customFormat="1" ht="9.75" customHeight="1" x14ac:dyDescent="0.15"/>
    <row r="72" spans="2:9" ht="14.25" customHeight="1" thickBot="1" x14ac:dyDescent="0.25">
      <c r="B72" s="80" t="s">
        <v>50</v>
      </c>
      <c r="C72" s="81"/>
      <c r="D72" s="81"/>
      <c r="E72" s="81"/>
      <c r="F72" s="81"/>
      <c r="G72" s="81"/>
      <c r="H72" s="81"/>
      <c r="I72" s="81"/>
    </row>
    <row r="73" spans="2:9" s="11" customFormat="1" ht="15" customHeight="1" x14ac:dyDescent="0.2">
      <c r="B73" s="17" t="s">
        <v>49</v>
      </c>
      <c r="C73" s="60"/>
      <c r="D73" s="60"/>
      <c r="E73" s="60"/>
      <c r="F73" s="60"/>
      <c r="G73" s="60"/>
      <c r="H73" s="60"/>
      <c r="I73" s="60"/>
    </row>
    <row r="74" spans="2:9" ht="14.25" customHeight="1" x14ac:dyDescent="0.2">
      <c r="B74" s="13" t="s">
        <v>42</v>
      </c>
      <c r="C74" s="27">
        <f>+C28</f>
        <v>24960</v>
      </c>
      <c r="D74" s="56">
        <f t="shared" ref="D74:I74" si="5">$C$28*(1+$C$10)^(D$63-$C$63)</f>
        <v>25708.799999999999</v>
      </c>
      <c r="E74" s="56">
        <f t="shared" si="5"/>
        <v>26480.063999999998</v>
      </c>
      <c r="F74" s="56">
        <f t="shared" si="5"/>
        <v>27274.465919999999</v>
      </c>
      <c r="G74" s="56">
        <f t="shared" si="5"/>
        <v>28092.6998976</v>
      </c>
      <c r="H74" s="56">
        <f t="shared" si="5"/>
        <v>28935.480894527995</v>
      </c>
      <c r="I74" s="56">
        <f t="shared" si="5"/>
        <v>29803.545321363839</v>
      </c>
    </row>
    <row r="75" spans="2:9" ht="14.25" customHeight="1" x14ac:dyDescent="0.2">
      <c r="B75" s="13" t="s">
        <v>14</v>
      </c>
      <c r="C75" s="56">
        <f>-C40</f>
        <v>-5896.56</v>
      </c>
      <c r="D75" s="56">
        <f t="shared" ref="D75:I75" si="6">-$C$40*(1+$C$10)^(D$63-$C$63)</f>
        <v>-6073.4568000000008</v>
      </c>
      <c r="E75" s="56">
        <f t="shared" si="6"/>
        <v>-6255.6605040000004</v>
      </c>
      <c r="F75" s="56">
        <f t="shared" si="6"/>
        <v>-6443.3303191200002</v>
      </c>
      <c r="G75" s="56">
        <f t="shared" si="6"/>
        <v>-6636.6302286935997</v>
      </c>
      <c r="H75" s="56">
        <f t="shared" si="6"/>
        <v>-6835.7291355544075</v>
      </c>
      <c r="I75" s="56">
        <f t="shared" si="6"/>
        <v>-7040.8010096210401</v>
      </c>
    </row>
    <row r="76" spans="2:9" ht="14.25" customHeight="1" x14ac:dyDescent="0.2">
      <c r="B76" s="13" t="s">
        <v>43</v>
      </c>
      <c r="C76" s="56">
        <f>-$E$43-$C$44</f>
        <v>-39218.540064326153</v>
      </c>
      <c r="D76" s="56">
        <f t="shared" ref="D76:I76" si="7">-$E$43-$C$44</f>
        <v>-39218.540064326153</v>
      </c>
      <c r="E76" s="56">
        <f t="shared" si="7"/>
        <v>-39218.540064326153</v>
      </c>
      <c r="F76" s="56">
        <f t="shared" si="7"/>
        <v>-39218.540064326153</v>
      </c>
      <c r="G76" s="56">
        <f t="shared" si="7"/>
        <v>-39218.540064326153</v>
      </c>
      <c r="H76" s="56">
        <f t="shared" si="7"/>
        <v>-39218.540064326153</v>
      </c>
      <c r="I76" s="56">
        <f t="shared" si="7"/>
        <v>-39218.540064326153</v>
      </c>
    </row>
    <row r="77" spans="2:9" ht="14.25" customHeight="1" x14ac:dyDescent="0.2">
      <c r="B77" s="82" t="s">
        <v>26</v>
      </c>
      <c r="C77" s="83">
        <f t="shared" ref="C77:I77" si="8">SUM(C74:C76)</f>
        <v>-20155.100064326154</v>
      </c>
      <c r="D77" s="83">
        <f t="shared" si="8"/>
        <v>-19583.196864326153</v>
      </c>
      <c r="E77" s="83">
        <f t="shared" si="8"/>
        <v>-18994.136568326154</v>
      </c>
      <c r="F77" s="83">
        <f t="shared" si="8"/>
        <v>-18387.404463446153</v>
      </c>
      <c r="G77" s="83">
        <f t="shared" si="8"/>
        <v>-17762.470395419754</v>
      </c>
      <c r="H77" s="83">
        <f t="shared" si="8"/>
        <v>-17118.788305352566</v>
      </c>
      <c r="I77" s="84">
        <f t="shared" si="8"/>
        <v>-16455.795752583355</v>
      </c>
    </row>
    <row r="78" spans="2:9" s="11" customFormat="1" ht="8.25" customHeight="1" thickBot="1" x14ac:dyDescent="0.25">
      <c r="B78" s="77"/>
      <c r="C78" s="76"/>
      <c r="D78" s="76"/>
      <c r="E78" s="76"/>
      <c r="F78" s="76"/>
      <c r="G78" s="76"/>
      <c r="H78" s="76"/>
      <c r="I78" s="76"/>
    </row>
    <row r="79" spans="2:9" s="11" customFormat="1" ht="15" customHeight="1" x14ac:dyDescent="0.2">
      <c r="B79" s="17" t="s">
        <v>57</v>
      </c>
      <c r="C79" s="60"/>
      <c r="D79" s="60"/>
      <c r="E79" s="60"/>
      <c r="F79" s="60"/>
      <c r="G79" s="60"/>
      <c r="H79" s="60"/>
      <c r="I79" s="60"/>
    </row>
    <row r="80" spans="2:9" ht="14.25" customHeight="1" x14ac:dyDescent="0.2">
      <c r="B80" s="13" t="s">
        <v>43</v>
      </c>
      <c r="C80" s="56">
        <f>IPMT($C$7,C$63,$C$9,$C$19)-$C$44</f>
        <v>-29848</v>
      </c>
      <c r="D80" s="56">
        <f t="shared" ref="D80:I80" si="9">IPMT($C$7,D$63,$C$9,$C$19)-$C$44</f>
        <v>-29283.734504836128</v>
      </c>
      <c r="E80" s="56">
        <f t="shared" si="9"/>
        <v>-28687.08017024985</v>
      </c>
      <c r="F80" s="56">
        <f t="shared" si="9"/>
        <v>-28056.177876858321</v>
      </c>
      <c r="G80" s="56">
        <f t="shared" si="9"/>
        <v>-27389.061791826127</v>
      </c>
      <c r="H80" s="56">
        <f t="shared" si="9"/>
        <v>-26683.653243513072</v>
      </c>
      <c r="I80" s="56">
        <f t="shared" si="9"/>
        <v>-25937.754244526855</v>
      </c>
    </row>
    <row r="81" spans="1:9" ht="14.25" customHeight="1" x14ac:dyDescent="0.2">
      <c r="B81" s="9" t="s">
        <v>58</v>
      </c>
      <c r="C81" s="74">
        <f>+C80+C67+C66</f>
        <v>-10784.559999999998</v>
      </c>
      <c r="D81" s="74">
        <f t="shared" ref="D81:I81" si="10">+D80+D67+D66</f>
        <v>-9648.3913048361319</v>
      </c>
      <c r="E81" s="74">
        <f t="shared" si="10"/>
        <v>-8462.6766742498512</v>
      </c>
      <c r="F81" s="74">
        <f t="shared" si="10"/>
        <v>-7225.0422759783214</v>
      </c>
      <c r="G81" s="74">
        <f t="shared" si="10"/>
        <v>-5932.9921229197244</v>
      </c>
      <c r="H81" s="74">
        <f t="shared" si="10"/>
        <v>-4583.901484539485</v>
      </c>
      <c r="I81" s="73">
        <f t="shared" si="10"/>
        <v>-3175.009932784058</v>
      </c>
    </row>
    <row r="82" spans="1:9" ht="14.25" customHeight="1" thickBot="1" x14ac:dyDescent="0.25">
      <c r="B82" s="63"/>
      <c r="C82" s="64"/>
      <c r="D82" s="64"/>
      <c r="E82" s="64"/>
      <c r="F82" s="64"/>
      <c r="G82" s="64"/>
      <c r="H82" s="64"/>
      <c r="I82" s="64"/>
    </row>
    <row r="83" spans="1:9" ht="14.25" customHeight="1" x14ac:dyDescent="0.2">
      <c r="B83" s="14" t="s">
        <v>53</v>
      </c>
      <c r="C83" s="61"/>
      <c r="D83" s="61"/>
      <c r="E83" s="61"/>
      <c r="F83" s="61"/>
      <c r="G83" s="61"/>
      <c r="H83" s="61"/>
      <c r="I83" s="61"/>
    </row>
    <row r="84" spans="1:9" ht="14.25" customHeight="1" x14ac:dyDescent="0.2">
      <c r="B84" s="13" t="s">
        <v>44</v>
      </c>
      <c r="C84" s="56">
        <f>($C$14+$C$17)*(1+$C$11)^(C$63-$C$63+1)</f>
        <v>695500</v>
      </c>
      <c r="D84" s="56">
        <f t="shared" ref="D84:I84" si="11">($C$14+$C$17)*(1+$C$11)^(D$63-$C$63+1)</f>
        <v>744185</v>
      </c>
      <c r="E84" s="56">
        <f t="shared" si="11"/>
        <v>796277.95000000007</v>
      </c>
      <c r="F84" s="56">
        <f t="shared" si="11"/>
        <v>852017.40650000004</v>
      </c>
      <c r="G84" s="56">
        <f t="shared" si="11"/>
        <v>911658.62495500012</v>
      </c>
      <c r="H84" s="56">
        <f t="shared" si="11"/>
        <v>975474.72870185005</v>
      </c>
      <c r="I84" s="56">
        <f t="shared" si="11"/>
        <v>1043757.9597109796</v>
      </c>
    </row>
    <row r="85" spans="1:9" ht="6.75" customHeight="1" x14ac:dyDescent="0.2">
      <c r="B85" s="13"/>
      <c r="C85" s="27"/>
      <c r="D85" s="56"/>
      <c r="E85" s="56"/>
      <c r="F85" s="56"/>
      <c r="G85" s="56"/>
      <c r="H85" s="56"/>
      <c r="I85" s="56"/>
    </row>
    <row r="86" spans="1:9" ht="14.25" customHeight="1" x14ac:dyDescent="0.2">
      <c r="B86" s="13" t="s">
        <v>46</v>
      </c>
      <c r="C86" s="56">
        <f>-$C$19</f>
        <v>-520000</v>
      </c>
      <c r="D86" s="56">
        <f t="shared" ref="D86:I86" si="12">-$C$19</f>
        <v>-520000</v>
      </c>
      <c r="E86" s="56">
        <f t="shared" si="12"/>
        <v>-520000</v>
      </c>
      <c r="F86" s="56">
        <f t="shared" si="12"/>
        <v>-520000</v>
      </c>
      <c r="G86" s="56">
        <f t="shared" si="12"/>
        <v>-520000</v>
      </c>
      <c r="H86" s="56">
        <f t="shared" si="12"/>
        <v>-520000</v>
      </c>
      <c r="I86" s="56">
        <f t="shared" si="12"/>
        <v>-520000</v>
      </c>
    </row>
    <row r="87" spans="1:9" ht="14.25" customHeight="1" x14ac:dyDescent="0.2">
      <c r="B87" s="13" t="s">
        <v>52</v>
      </c>
      <c r="C87" s="56">
        <f>+$C$20</f>
        <v>162500</v>
      </c>
      <c r="D87" s="56">
        <f t="shared" ref="D87:I87" si="13">+$C$20</f>
        <v>162500</v>
      </c>
      <c r="E87" s="56">
        <f t="shared" si="13"/>
        <v>162500</v>
      </c>
      <c r="F87" s="56">
        <f t="shared" si="13"/>
        <v>162500</v>
      </c>
      <c r="G87" s="56">
        <f t="shared" si="13"/>
        <v>162500</v>
      </c>
      <c r="H87" s="56">
        <f t="shared" si="13"/>
        <v>162500</v>
      </c>
      <c r="I87" s="56">
        <f t="shared" si="13"/>
        <v>162500</v>
      </c>
    </row>
    <row r="88" spans="1:9" ht="14.25" customHeight="1" x14ac:dyDescent="0.2">
      <c r="B88" s="68" t="s">
        <v>45</v>
      </c>
      <c r="C88" s="69">
        <f>+C86+C84-C87</f>
        <v>13000</v>
      </c>
      <c r="D88" s="69">
        <f t="shared" ref="D88:I88" si="14">+D86+D84-D87</f>
        <v>61685</v>
      </c>
      <c r="E88" s="69">
        <f t="shared" si="14"/>
        <v>113777.95000000007</v>
      </c>
      <c r="F88" s="69">
        <f t="shared" si="14"/>
        <v>169517.40650000004</v>
      </c>
      <c r="G88" s="69">
        <f t="shared" si="14"/>
        <v>229158.62495500012</v>
      </c>
      <c r="H88" s="69">
        <f t="shared" si="14"/>
        <v>292974.72870185005</v>
      </c>
      <c r="I88" s="69">
        <f t="shared" si="14"/>
        <v>361257.9597109796</v>
      </c>
    </row>
    <row r="89" spans="1:9" ht="6.75" customHeight="1" x14ac:dyDescent="0.2">
      <c r="B89" s="58"/>
      <c r="C89" s="59"/>
      <c r="D89" s="59"/>
      <c r="E89" s="59"/>
      <c r="F89" s="59"/>
      <c r="G89" s="59"/>
      <c r="H89" s="59"/>
      <c r="I89" s="59"/>
    </row>
    <row r="90" spans="1:9" ht="14.25" customHeight="1" x14ac:dyDescent="0.2">
      <c r="B90" s="13" t="s">
        <v>47</v>
      </c>
      <c r="C90" s="56">
        <f t="shared" ref="C90:I90" si="15">IPMT($C$7,C$63+1,$C$9,$C$19)/$C$7</f>
        <v>-510169.5906765876</v>
      </c>
      <c r="D90" s="56">
        <f t="shared" si="15"/>
        <v>-499774.91585801134</v>
      </c>
      <c r="E90" s="56">
        <f t="shared" si="15"/>
        <v>-488783.5867048488</v>
      </c>
      <c r="F90" s="56">
        <f t="shared" si="15"/>
        <v>-477161.35525829491</v>
      </c>
      <c r="G90" s="56">
        <f t="shared" si="15"/>
        <v>-464872.0077267086</v>
      </c>
      <c r="H90" s="56">
        <f t="shared" si="15"/>
        <v>-451877.25164680934</v>
      </c>
      <c r="I90" s="56">
        <f t="shared" si="15"/>
        <v>-438136.5965679239</v>
      </c>
    </row>
    <row r="91" spans="1:9" ht="14.25" customHeight="1" x14ac:dyDescent="0.2">
      <c r="B91" s="13" t="s">
        <v>52</v>
      </c>
      <c r="C91" s="56">
        <f>+$C$20</f>
        <v>162500</v>
      </c>
      <c r="D91" s="56">
        <f t="shared" ref="D91:I91" si="16">+$C$20</f>
        <v>162500</v>
      </c>
      <c r="E91" s="56">
        <f t="shared" si="16"/>
        <v>162500</v>
      </c>
      <c r="F91" s="56">
        <f t="shared" si="16"/>
        <v>162500</v>
      </c>
      <c r="G91" s="56">
        <f t="shared" si="16"/>
        <v>162500</v>
      </c>
      <c r="H91" s="56">
        <f t="shared" si="16"/>
        <v>162500</v>
      </c>
      <c r="I91" s="56">
        <f t="shared" si="16"/>
        <v>162500</v>
      </c>
    </row>
    <row r="92" spans="1:9" ht="14.25" customHeight="1" x14ac:dyDescent="0.2">
      <c r="B92" s="68" t="s">
        <v>48</v>
      </c>
      <c r="C92" s="69">
        <f>+C90+C84-C91</f>
        <v>22830.409323412401</v>
      </c>
      <c r="D92" s="69">
        <f t="shared" ref="D92:I92" si="17">+D90+D84-D91</f>
        <v>81910.084141988656</v>
      </c>
      <c r="E92" s="69">
        <f t="shared" si="17"/>
        <v>144994.36329515127</v>
      </c>
      <c r="F92" s="69">
        <f t="shared" si="17"/>
        <v>212356.05124170514</v>
      </c>
      <c r="G92" s="69">
        <f t="shared" si="17"/>
        <v>284286.61722829152</v>
      </c>
      <c r="H92" s="69">
        <f t="shared" si="17"/>
        <v>361097.47705504071</v>
      </c>
      <c r="I92" s="69">
        <f t="shared" si="17"/>
        <v>443121.3631430557</v>
      </c>
    </row>
    <row r="93" spans="1:9" s="11" customFormat="1" ht="9.75" customHeight="1" x14ac:dyDescent="0.2">
      <c r="B93" s="13"/>
      <c r="C93" s="70"/>
      <c r="D93" s="60"/>
      <c r="E93" s="60"/>
      <c r="F93" s="60"/>
      <c r="G93" s="60"/>
      <c r="H93" s="60"/>
      <c r="I93" s="60"/>
    </row>
    <row r="94" spans="1:9" ht="3.95" customHeight="1" x14ac:dyDescent="0.2">
      <c r="A94" s="7"/>
      <c r="B94" s="7"/>
      <c r="C94" s="7"/>
      <c r="D94" s="7"/>
      <c r="E94" s="22"/>
      <c r="F94" s="7"/>
      <c r="G94" s="7"/>
      <c r="H94" s="7"/>
      <c r="I94" s="7"/>
    </row>
    <row r="95" spans="1:9" x14ac:dyDescent="0.2">
      <c r="C95" s="27"/>
      <c r="D95" s="27"/>
      <c r="F95" s="27"/>
      <c r="G95" s="27"/>
      <c r="H95" s="27"/>
      <c r="I95" s="27"/>
    </row>
    <row r="96" spans="1:9" x14ac:dyDescent="0.2">
      <c r="C96" s="75"/>
      <c r="D96" s="75"/>
      <c r="E96" s="75"/>
      <c r="F96" s="75"/>
      <c r="G96" s="75"/>
      <c r="H96" s="75"/>
      <c r="I96" s="75"/>
    </row>
    <row r="97" spans="4:4" x14ac:dyDescent="0.2">
      <c r="D97" s="57"/>
    </row>
  </sheetData>
  <mergeCells count="1">
    <mergeCell ref="B2:I2"/>
  </mergeCells>
  <conditionalFormatting sqref="D61">
    <cfRule type="expression" dxfId="27" priority="7">
      <formula>D61&gt;0</formula>
    </cfRule>
    <cfRule type="expression" dxfId="26" priority="8">
      <formula>D61&lt;0</formula>
    </cfRule>
  </conditionalFormatting>
  <conditionalFormatting sqref="E61">
    <cfRule type="expression" dxfId="25" priority="5">
      <formula>E61&gt;0</formula>
    </cfRule>
    <cfRule type="expression" dxfId="24" priority="6">
      <formula>E61&lt;0</formula>
    </cfRule>
  </conditionalFormatting>
  <conditionalFormatting sqref="C69:I69">
    <cfRule type="expression" dxfId="23" priority="3">
      <formula>C69&gt;0</formula>
    </cfRule>
    <cfRule type="expression" dxfId="22" priority="4">
      <formula>C69&lt;0</formula>
    </cfRule>
  </conditionalFormatting>
  <conditionalFormatting sqref="C77:I77">
    <cfRule type="expression" dxfId="21" priority="1">
      <formula>C77&gt;0</formula>
    </cfRule>
    <cfRule type="expression" dxfId="20" priority="2">
      <formula>C77&lt;0</formula>
    </cfRule>
  </conditionalFormatting>
  <printOptions horizontalCentered="1"/>
  <pageMargins left="0.75" right="0.75" top="1" bottom="1" header="0.5" footer="0.5"/>
  <pageSetup scale="8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pageSetUpPr fitToPage="1"/>
  </sheetPr>
  <dimension ref="A1:M97"/>
  <sheetViews>
    <sheetView showGridLines="0" workbookViewId="0">
      <pane xSplit="3" ySplit="2" topLeftCell="D62" activePane="bottomRight" state="frozen"/>
      <selection pane="topRight" activeCell="D1" sqref="D1"/>
      <selection pane="bottomLeft" activeCell="A3" sqref="A3"/>
      <selection pane="bottomRight" activeCell="D76" sqref="D76"/>
    </sheetView>
  </sheetViews>
  <sheetFormatPr defaultColWidth="9.140625" defaultRowHeight="12.75" x14ac:dyDescent="0.2"/>
  <cols>
    <col min="1" max="1" width="1.85546875" style="1" customWidth="1"/>
    <col min="2" max="2" width="24.140625" style="1" customWidth="1"/>
    <col min="3" max="3" width="16.5703125" style="1" customWidth="1"/>
    <col min="4" max="4" width="15" style="1" customWidth="1"/>
    <col min="5" max="5" width="15" style="27" customWidth="1"/>
    <col min="6" max="6" width="15" style="1" customWidth="1"/>
    <col min="7" max="7" width="15.5703125" style="1" customWidth="1"/>
    <col min="8" max="8" width="17.140625" style="1" customWidth="1"/>
    <col min="9" max="13" width="11.42578125" style="1" customWidth="1"/>
    <col min="14" max="16384" width="9.140625" style="1"/>
  </cols>
  <sheetData>
    <row r="1" spans="1:9" ht="45" customHeight="1" thickBot="1" x14ac:dyDescent="0.25">
      <c r="A1" s="40"/>
      <c r="B1" s="32" t="s">
        <v>1</v>
      </c>
      <c r="C1" s="21"/>
      <c r="D1" s="21"/>
      <c r="E1" s="21"/>
      <c r="F1" s="21"/>
      <c r="G1" s="21"/>
      <c r="H1" s="19"/>
      <c r="I1" s="18"/>
    </row>
    <row r="2" spans="1:9" ht="22.5" customHeight="1" x14ac:dyDescent="0.2">
      <c r="A2" s="20"/>
      <c r="B2" s="87" t="s">
        <v>60</v>
      </c>
      <c r="C2" s="87"/>
      <c r="D2" s="88"/>
      <c r="E2" s="88"/>
      <c r="F2" s="88"/>
      <c r="G2" s="88"/>
      <c r="H2" s="88"/>
      <c r="I2" s="88"/>
    </row>
    <row r="3" spans="1:9" ht="8.1" customHeight="1" thickBot="1" x14ac:dyDescent="0.25">
      <c r="B3" s="12"/>
      <c r="C3" s="12"/>
      <c r="D3" s="2"/>
      <c r="E3" s="23"/>
      <c r="F3" s="8"/>
      <c r="G3" s="2"/>
      <c r="H3" s="2"/>
      <c r="I3" s="8"/>
    </row>
    <row r="4" spans="1:9" ht="17.100000000000001" customHeight="1" x14ac:dyDescent="0.2">
      <c r="B4" s="41" t="s">
        <v>63</v>
      </c>
      <c r="C4" s="16"/>
      <c r="E4" s="1"/>
    </row>
    <row r="5" spans="1:9" x14ac:dyDescent="0.2">
      <c r="B5" s="65" t="s">
        <v>5</v>
      </c>
      <c r="C5" s="33">
        <v>0</v>
      </c>
      <c r="E5" s="1"/>
    </row>
    <row r="6" spans="1:9" x14ac:dyDescent="0.2">
      <c r="B6" s="66" t="s">
        <v>6</v>
      </c>
      <c r="C6" s="34">
        <v>0.05</v>
      </c>
      <c r="D6" s="39"/>
      <c r="E6" s="1"/>
    </row>
    <row r="7" spans="1:9" x14ac:dyDescent="0.2">
      <c r="B7" s="66" t="s">
        <v>7</v>
      </c>
      <c r="C7" s="85">
        <v>5.74E-2</v>
      </c>
      <c r="E7" s="1"/>
    </row>
    <row r="8" spans="1:9" x14ac:dyDescent="0.2">
      <c r="B8" s="66" t="s">
        <v>24</v>
      </c>
      <c r="C8" s="34">
        <v>0.1</v>
      </c>
      <c r="E8" s="1"/>
    </row>
    <row r="9" spans="1:9" x14ac:dyDescent="0.2">
      <c r="A9" s="2"/>
      <c r="B9" s="66" t="s">
        <v>54</v>
      </c>
      <c r="C9" s="43">
        <v>25</v>
      </c>
      <c r="E9" s="1"/>
    </row>
    <row r="10" spans="1:9" x14ac:dyDescent="0.2">
      <c r="A10" s="2"/>
      <c r="B10" s="66" t="s">
        <v>41</v>
      </c>
      <c r="C10" s="34">
        <v>2.5000000000000001E-2</v>
      </c>
      <c r="E10" s="1"/>
    </row>
    <row r="11" spans="1:9" x14ac:dyDescent="0.2">
      <c r="A11" s="2"/>
      <c r="B11" s="67" t="s">
        <v>40</v>
      </c>
      <c r="C11" s="34">
        <v>5.5E-2</v>
      </c>
      <c r="E11" s="1"/>
    </row>
    <row r="12" spans="1:9" ht="13.5" thickBot="1" x14ac:dyDescent="0.25">
      <c r="B12" s="4"/>
      <c r="C12" s="4"/>
      <c r="E12" s="1"/>
    </row>
    <row r="13" spans="1:9" ht="14.25" x14ac:dyDescent="0.2">
      <c r="B13" s="41" t="s">
        <v>59</v>
      </c>
      <c r="C13" s="16"/>
      <c r="E13" s="1"/>
    </row>
    <row r="14" spans="1:9" x14ac:dyDescent="0.2">
      <c r="B14" s="3" t="s">
        <v>3</v>
      </c>
      <c r="C14" s="35">
        <v>325000</v>
      </c>
      <c r="E14" s="1"/>
    </row>
    <row r="15" spans="1:9" x14ac:dyDescent="0.2">
      <c r="B15" s="3" t="s">
        <v>8</v>
      </c>
      <c r="C15" s="31">
        <f>C6*C14</f>
        <v>16250</v>
      </c>
      <c r="E15" s="1"/>
    </row>
    <row r="16" spans="1:9" x14ac:dyDescent="0.2">
      <c r="B16" s="3" t="s">
        <v>62</v>
      </c>
      <c r="C16" s="35">
        <v>0</v>
      </c>
      <c r="E16" s="1"/>
    </row>
    <row r="17" spans="2:5" x14ac:dyDescent="0.2">
      <c r="B17" s="3" t="s">
        <v>61</v>
      </c>
      <c r="C17" s="35">
        <v>0</v>
      </c>
      <c r="E17" s="1"/>
    </row>
    <row r="18" spans="2:5" x14ac:dyDescent="0.2">
      <c r="B18" s="3" t="s">
        <v>32</v>
      </c>
      <c r="C18" s="35"/>
      <c r="E18" s="1"/>
    </row>
    <row r="19" spans="2:5" ht="13.5" thickBot="1" x14ac:dyDescent="0.25">
      <c r="B19" s="3" t="s">
        <v>2</v>
      </c>
      <c r="C19" s="47">
        <f>C14*C5</f>
        <v>0</v>
      </c>
      <c r="E19" s="1"/>
    </row>
    <row r="20" spans="2:5" ht="13.5" thickBot="1" x14ac:dyDescent="0.25">
      <c r="B20" s="71" t="s">
        <v>9</v>
      </c>
      <c r="C20" s="48">
        <f>SUM(C14:C18)-C19</f>
        <v>341250</v>
      </c>
      <c r="D20" s="39"/>
      <c r="E20" s="1"/>
    </row>
    <row r="21" spans="2:5" ht="13.5" thickBot="1" x14ac:dyDescent="0.25">
      <c r="B21" s="3"/>
      <c r="C21" s="13"/>
      <c r="E21" s="1"/>
    </row>
    <row r="22" spans="2:5" ht="13.5" thickBot="1" x14ac:dyDescent="0.25">
      <c r="B22" s="9" t="s">
        <v>0</v>
      </c>
      <c r="C22" s="28">
        <f>SUM(C14:C18)</f>
        <v>341250</v>
      </c>
      <c r="E22" s="1"/>
    </row>
    <row r="23" spans="2:5" ht="13.5" thickBot="1" x14ac:dyDescent="0.25">
      <c r="B23" s="4"/>
      <c r="C23" s="4"/>
      <c r="E23" s="1"/>
    </row>
    <row r="24" spans="2:5" ht="14.25" x14ac:dyDescent="0.2">
      <c r="B24" s="41" t="s">
        <v>33</v>
      </c>
      <c r="C24" s="16"/>
      <c r="E24" s="1"/>
    </row>
    <row r="25" spans="2:5" x14ac:dyDescent="0.2">
      <c r="B25" s="3" t="s">
        <v>10</v>
      </c>
      <c r="C25" s="35">
        <v>330</v>
      </c>
      <c r="E25" s="1"/>
    </row>
    <row r="26" spans="2:5" x14ac:dyDescent="0.2">
      <c r="B26" s="3" t="s">
        <v>12</v>
      </c>
      <c r="C26" s="38">
        <f>(+C25*52)/C14</f>
        <v>5.28E-2</v>
      </c>
      <c r="D26" s="39"/>
      <c r="E26" s="1"/>
    </row>
    <row r="27" spans="2:5" ht="13.5" thickBot="1" x14ac:dyDescent="0.25">
      <c r="B27" s="3" t="s">
        <v>11</v>
      </c>
      <c r="C27" s="36">
        <v>0.96</v>
      </c>
      <c r="D27" s="39"/>
      <c r="E27" s="1"/>
    </row>
    <row r="28" spans="2:5" ht="13.5" thickBot="1" x14ac:dyDescent="0.25">
      <c r="B28" s="9" t="s">
        <v>0</v>
      </c>
      <c r="C28" s="28">
        <f>+C25*52*C27</f>
        <v>16473.599999999999</v>
      </c>
      <c r="E28" s="1"/>
    </row>
    <row r="29" spans="2:5" ht="13.5" thickBot="1" x14ac:dyDescent="0.25">
      <c r="B29" s="4"/>
      <c r="C29" s="4"/>
    </row>
    <row r="30" spans="2:5" ht="14.25" x14ac:dyDescent="0.2">
      <c r="B30" s="41" t="s">
        <v>14</v>
      </c>
      <c r="C30" s="16"/>
    </row>
    <row r="31" spans="2:5" x14ac:dyDescent="0.2">
      <c r="B31" s="6" t="s">
        <v>17</v>
      </c>
      <c r="C31" s="35">
        <v>4000</v>
      </c>
    </row>
    <row r="32" spans="2:5" x14ac:dyDescent="0.2">
      <c r="B32" s="3" t="s">
        <v>18</v>
      </c>
      <c r="C32" s="35">
        <v>1200</v>
      </c>
    </row>
    <row r="33" spans="2:5" x14ac:dyDescent="0.2">
      <c r="B33" s="3" t="s">
        <v>19</v>
      </c>
      <c r="C33" s="35">
        <v>0</v>
      </c>
    </row>
    <row r="34" spans="2:5" x14ac:dyDescent="0.2">
      <c r="B34" s="3" t="s">
        <v>20</v>
      </c>
      <c r="C34" s="35">
        <v>0</v>
      </c>
    </row>
    <row r="35" spans="2:5" x14ac:dyDescent="0.2">
      <c r="B35" s="3" t="s">
        <v>21</v>
      </c>
      <c r="C35" s="35">
        <v>700</v>
      </c>
    </row>
    <row r="36" spans="2:5" x14ac:dyDescent="0.2">
      <c r="B36" s="3" t="s">
        <v>25</v>
      </c>
      <c r="C36" s="35">
        <v>0</v>
      </c>
    </row>
    <row r="37" spans="2:5" x14ac:dyDescent="0.2">
      <c r="B37" s="3" t="s">
        <v>34</v>
      </c>
      <c r="C37" s="37">
        <v>0</v>
      </c>
    </row>
    <row r="38" spans="2:5" x14ac:dyDescent="0.2">
      <c r="B38" s="3" t="s">
        <v>23</v>
      </c>
      <c r="C38" s="31">
        <f>(C25*C27*52)*C37</f>
        <v>0</v>
      </c>
    </row>
    <row r="39" spans="2:5" x14ac:dyDescent="0.2">
      <c r="B39" s="3" t="s">
        <v>22</v>
      </c>
      <c r="C39" s="47">
        <f>+C38*C8</f>
        <v>0</v>
      </c>
    </row>
    <row r="40" spans="2:5" x14ac:dyDescent="0.2">
      <c r="B40" s="9" t="s">
        <v>0</v>
      </c>
      <c r="C40" s="49">
        <f>SUM(C31:C39)</f>
        <v>5900</v>
      </c>
    </row>
    <row r="41" spans="2:5" ht="13.5" thickBot="1" x14ac:dyDescent="0.25">
      <c r="B41" s="4"/>
      <c r="C41" s="4"/>
      <c r="D41" s="5"/>
      <c r="E41" s="25"/>
    </row>
    <row r="42" spans="2:5" ht="14.25" x14ac:dyDescent="0.2">
      <c r="B42" s="41" t="s">
        <v>13</v>
      </c>
      <c r="C42" s="10"/>
      <c r="D42" s="45" t="s">
        <v>35</v>
      </c>
      <c r="E42" s="45" t="s">
        <v>36</v>
      </c>
    </row>
    <row r="43" spans="2:5" x14ac:dyDescent="0.2">
      <c r="B43" s="50" t="s">
        <v>15</v>
      </c>
      <c r="D43" s="31">
        <f>+C19*C7</f>
        <v>0</v>
      </c>
      <c r="E43" s="31">
        <f>-PMT(C7/12,C9*12,C19)*12</f>
        <v>0</v>
      </c>
    </row>
    <row r="44" spans="2:5" x14ac:dyDescent="0.2">
      <c r="B44" s="13" t="s">
        <v>16</v>
      </c>
      <c r="C44" s="42">
        <v>0</v>
      </c>
      <c r="E44" s="1"/>
    </row>
    <row r="45" spans="2:5" ht="13.5" thickBot="1" x14ac:dyDescent="0.25">
      <c r="E45" s="1"/>
    </row>
    <row r="46" spans="2:5" ht="14.25" x14ac:dyDescent="0.2">
      <c r="B46" s="41" t="s">
        <v>38</v>
      </c>
      <c r="C46" s="16"/>
      <c r="D46" s="15"/>
      <c r="E46" s="1"/>
    </row>
    <row r="47" spans="2:5" x14ac:dyDescent="0.2">
      <c r="B47" s="6" t="s">
        <v>4</v>
      </c>
      <c r="C47" s="13"/>
      <c r="D47" s="31">
        <f>+C28</f>
        <v>16473.599999999999</v>
      </c>
      <c r="E47" s="1"/>
    </row>
    <row r="48" spans="2:5" x14ac:dyDescent="0.2">
      <c r="B48" s="3" t="s">
        <v>14</v>
      </c>
      <c r="C48" s="13"/>
      <c r="D48" s="46">
        <f>-C40</f>
        <v>-5900</v>
      </c>
      <c r="E48" s="1"/>
    </row>
    <row r="49" spans="2:13" x14ac:dyDescent="0.2">
      <c r="B49" s="3" t="s">
        <v>37</v>
      </c>
      <c r="C49" s="13"/>
      <c r="D49" s="52">
        <f>-C44-D43</f>
        <v>0</v>
      </c>
      <c r="E49" s="1"/>
    </row>
    <row r="50" spans="2:13" x14ac:dyDescent="0.2">
      <c r="B50" s="9" t="s">
        <v>39</v>
      </c>
      <c r="C50" s="51"/>
      <c r="D50" s="54">
        <f>SUM(D47:D49)</f>
        <v>10573.599999999999</v>
      </c>
      <c r="E50" s="1"/>
    </row>
    <row r="51" spans="2:13" ht="13.5" thickBot="1" x14ac:dyDescent="0.25">
      <c r="B51" s="4"/>
      <c r="C51" s="4"/>
      <c r="D51" s="5"/>
      <c r="E51" s="25"/>
    </row>
    <row r="52" spans="2:13" ht="14.25" x14ac:dyDescent="0.2">
      <c r="B52" s="41" t="s">
        <v>26</v>
      </c>
      <c r="C52" s="16"/>
      <c r="D52" s="15" t="str">
        <f>+D42</f>
        <v>Interest Only</v>
      </c>
      <c r="E52" s="15" t="str">
        <f>+E42</f>
        <v>P&amp;I Loan</v>
      </c>
    </row>
    <row r="53" spans="2:13" x14ac:dyDescent="0.2">
      <c r="B53" s="6" t="s">
        <v>4</v>
      </c>
      <c r="C53" s="13"/>
      <c r="D53" s="31">
        <f>+D47</f>
        <v>16473.599999999999</v>
      </c>
      <c r="E53" s="31">
        <f>+C28</f>
        <v>16473.599999999999</v>
      </c>
    </row>
    <row r="54" spans="2:13" x14ac:dyDescent="0.2">
      <c r="B54" s="3" t="s">
        <v>14</v>
      </c>
      <c r="C54" s="13"/>
      <c r="D54" s="46">
        <f>+D48</f>
        <v>-5900</v>
      </c>
      <c r="E54" s="46">
        <f>-C40</f>
        <v>-5900</v>
      </c>
    </row>
    <row r="55" spans="2:13" x14ac:dyDescent="0.2">
      <c r="B55" s="3" t="s">
        <v>37</v>
      </c>
      <c r="C55" s="13"/>
      <c r="D55" s="52">
        <f>+D49</f>
        <v>0</v>
      </c>
      <c r="E55" s="52">
        <f>-E43-C44</f>
        <v>0</v>
      </c>
    </row>
    <row r="56" spans="2:13" x14ac:dyDescent="0.2">
      <c r="B56" s="9" t="s">
        <v>56</v>
      </c>
      <c r="C56" s="51"/>
      <c r="D56" s="53">
        <f>SUM(D53:D55)</f>
        <v>10573.599999999999</v>
      </c>
      <c r="E56" s="54">
        <f>SUM(E53:E55)</f>
        <v>10573.599999999999</v>
      </c>
    </row>
    <row r="57" spans="2:13" ht="13.5" thickBot="1" x14ac:dyDescent="0.25">
      <c r="B57" s="4"/>
      <c r="C57" s="4"/>
      <c r="D57" s="5"/>
      <c r="E57" s="25"/>
    </row>
    <row r="58" spans="2:13" ht="15" thickBot="1" x14ac:dyDescent="0.25">
      <c r="B58" s="14" t="s">
        <v>27</v>
      </c>
      <c r="C58" s="15" t="s">
        <v>29</v>
      </c>
      <c r="D58" s="24" t="s">
        <v>30</v>
      </c>
      <c r="E58" s="24" t="s">
        <v>30</v>
      </c>
    </row>
    <row r="59" spans="2:13" ht="15" thickBot="1" x14ac:dyDescent="0.25">
      <c r="B59" s="55"/>
      <c r="C59" s="15"/>
      <c r="D59" s="72" t="str">
        <f>+D52</f>
        <v>Interest Only</v>
      </c>
      <c r="E59" s="72" t="str">
        <f>+E52</f>
        <v>P&amp;I Loan</v>
      </c>
    </row>
    <row r="60" spans="2:13" ht="21" customHeight="1" x14ac:dyDescent="0.2">
      <c r="B60" s="13" t="s">
        <v>28</v>
      </c>
      <c r="C60" s="29">
        <f>C20</f>
        <v>341250</v>
      </c>
      <c r="D60" s="26">
        <f>+D56</f>
        <v>10573.599999999999</v>
      </c>
      <c r="E60" s="26">
        <f>E56</f>
        <v>10573.599999999999</v>
      </c>
    </row>
    <row r="61" spans="2:13" ht="19.5" customHeight="1" x14ac:dyDescent="0.2">
      <c r="B61" s="13" t="s">
        <v>31</v>
      </c>
      <c r="C61" s="13"/>
      <c r="D61" s="30">
        <f>D60/C60</f>
        <v>3.0984908424908419E-2</v>
      </c>
      <c r="E61" s="30">
        <f>E60/C60</f>
        <v>3.0984908424908419E-2</v>
      </c>
    </row>
    <row r="62" spans="2:13" ht="21" customHeight="1" thickBot="1" x14ac:dyDescent="0.25">
      <c r="B62" s="13"/>
      <c r="C62" s="13"/>
      <c r="D62" s="13"/>
      <c r="E62" s="13"/>
    </row>
    <row r="63" spans="2:13" ht="21" customHeight="1" thickBot="1" x14ac:dyDescent="0.25">
      <c r="B63" s="14" t="s">
        <v>51</v>
      </c>
      <c r="C63" s="44">
        <v>1</v>
      </c>
      <c r="D63" s="44">
        <f t="shared" ref="D63:I63" si="0">+C63+1</f>
        <v>2</v>
      </c>
      <c r="E63" s="44">
        <f t="shared" si="0"/>
        <v>3</v>
      </c>
      <c r="F63" s="44">
        <f t="shared" si="0"/>
        <v>4</v>
      </c>
      <c r="G63" s="44">
        <f t="shared" si="0"/>
        <v>5</v>
      </c>
      <c r="H63" s="44">
        <f t="shared" si="0"/>
        <v>6</v>
      </c>
      <c r="I63" s="44">
        <f t="shared" si="0"/>
        <v>7</v>
      </c>
      <c r="J63" s="44">
        <f t="shared" ref="J63" si="1">+I63+1</f>
        <v>8</v>
      </c>
      <c r="K63" s="44">
        <f t="shared" ref="K63" si="2">+J63+1</f>
        <v>9</v>
      </c>
      <c r="L63" s="44">
        <f t="shared" ref="L63" si="3">+K63+1</f>
        <v>10</v>
      </c>
      <c r="M63" s="44">
        <f t="shared" ref="M63" si="4">+L63+1</f>
        <v>11</v>
      </c>
    </row>
    <row r="64" spans="2:13" s="11" customFormat="1" ht="6" customHeight="1" x14ac:dyDescent="0.2">
      <c r="B64" s="79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2:13" ht="14.25" customHeight="1" x14ac:dyDescent="0.2">
      <c r="B65" s="80" t="s">
        <v>64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2:13" ht="14.25" customHeight="1" x14ac:dyDescent="0.2">
      <c r="B66" s="13" t="s">
        <v>42</v>
      </c>
      <c r="C66" s="27">
        <f>+C28</f>
        <v>16473.599999999999</v>
      </c>
      <c r="D66" s="56">
        <f t="shared" ref="D66:M66" si="5">$C$28*(1+$C$10)^(D$63-$C$63)</f>
        <v>16885.439999999999</v>
      </c>
      <c r="E66" s="56">
        <f t="shared" si="5"/>
        <v>17307.575999999997</v>
      </c>
      <c r="F66" s="56">
        <f t="shared" si="5"/>
        <v>17740.265399999997</v>
      </c>
      <c r="G66" s="56">
        <f t="shared" si="5"/>
        <v>18183.772034999995</v>
      </c>
      <c r="H66" s="56">
        <f t="shared" si="5"/>
        <v>18638.366335874991</v>
      </c>
      <c r="I66" s="56">
        <f t="shared" si="5"/>
        <v>19104.325494271867</v>
      </c>
      <c r="J66" s="56">
        <f t="shared" si="5"/>
        <v>19581.933631628664</v>
      </c>
      <c r="K66" s="56">
        <f t="shared" si="5"/>
        <v>20071.48197241938</v>
      </c>
      <c r="L66" s="56">
        <f t="shared" si="5"/>
        <v>20573.269021729859</v>
      </c>
      <c r="M66" s="56">
        <f t="shared" si="5"/>
        <v>21087.600747273107</v>
      </c>
    </row>
    <row r="67" spans="2:13" ht="14.25" customHeight="1" x14ac:dyDescent="0.2">
      <c r="B67" s="13" t="s">
        <v>14</v>
      </c>
      <c r="C67" s="56">
        <f>-C40</f>
        <v>-5900</v>
      </c>
      <c r="D67" s="56">
        <f t="shared" ref="D67:M67" si="6">-$C$40*(1+$C$10)^(D$63-$C$63)</f>
        <v>-6047.4999999999991</v>
      </c>
      <c r="E67" s="56">
        <f t="shared" si="6"/>
        <v>-6198.6874999999991</v>
      </c>
      <c r="F67" s="56">
        <f t="shared" si="6"/>
        <v>-6353.6546874999995</v>
      </c>
      <c r="G67" s="56">
        <f t="shared" si="6"/>
        <v>-6512.4960546874991</v>
      </c>
      <c r="H67" s="56">
        <f t="shared" si="6"/>
        <v>-6675.3084560546858</v>
      </c>
      <c r="I67" s="56">
        <f t="shared" si="6"/>
        <v>-6842.1911674560524</v>
      </c>
      <c r="J67" s="56">
        <f t="shared" si="6"/>
        <v>-7013.2459466424534</v>
      </c>
      <c r="K67" s="56">
        <f t="shared" si="6"/>
        <v>-7188.5770953085148</v>
      </c>
      <c r="L67" s="56">
        <f t="shared" si="6"/>
        <v>-7368.2915226912264</v>
      </c>
      <c r="M67" s="56">
        <f t="shared" si="6"/>
        <v>-7552.4988107585068</v>
      </c>
    </row>
    <row r="68" spans="2:13" ht="14.25" customHeight="1" x14ac:dyDescent="0.2">
      <c r="B68" s="13" t="s">
        <v>43</v>
      </c>
      <c r="C68" s="56">
        <f>+$D$49</f>
        <v>0</v>
      </c>
      <c r="D68" s="56">
        <f t="shared" ref="D68:M68" si="7">+$D$49</f>
        <v>0</v>
      </c>
      <c r="E68" s="56">
        <f t="shared" si="7"/>
        <v>0</v>
      </c>
      <c r="F68" s="56">
        <f t="shared" si="7"/>
        <v>0</v>
      </c>
      <c r="G68" s="56">
        <f t="shared" si="7"/>
        <v>0</v>
      </c>
      <c r="H68" s="56">
        <f t="shared" si="7"/>
        <v>0</v>
      </c>
      <c r="I68" s="56">
        <f t="shared" si="7"/>
        <v>0</v>
      </c>
      <c r="J68" s="56">
        <f t="shared" si="7"/>
        <v>0</v>
      </c>
      <c r="K68" s="56">
        <f t="shared" si="7"/>
        <v>0</v>
      </c>
      <c r="L68" s="56">
        <f t="shared" si="7"/>
        <v>0</v>
      </c>
      <c r="M68" s="56">
        <f t="shared" si="7"/>
        <v>0</v>
      </c>
    </row>
    <row r="69" spans="2:13" ht="14.25" customHeight="1" x14ac:dyDescent="0.2">
      <c r="B69" s="82" t="s">
        <v>26</v>
      </c>
      <c r="C69" s="83">
        <f>SUM(C66:C68)</f>
        <v>10573.599999999999</v>
      </c>
      <c r="D69" s="83">
        <f t="shared" ref="D69:I69" si="8">SUM(D66:D68)</f>
        <v>10837.939999999999</v>
      </c>
      <c r="E69" s="83">
        <f t="shared" si="8"/>
        <v>11108.888499999997</v>
      </c>
      <c r="F69" s="83">
        <f t="shared" si="8"/>
        <v>11386.610712499998</v>
      </c>
      <c r="G69" s="83">
        <f t="shared" si="8"/>
        <v>11671.275980312495</v>
      </c>
      <c r="H69" s="83">
        <f t="shared" si="8"/>
        <v>11963.057879820306</v>
      </c>
      <c r="I69" s="84">
        <f t="shared" si="8"/>
        <v>12262.134326815814</v>
      </c>
      <c r="J69" s="84">
        <f t="shared" ref="J69:L69" si="9">SUM(J66:J68)</f>
        <v>12568.687684986211</v>
      </c>
      <c r="K69" s="84">
        <f t="shared" si="9"/>
        <v>12882.904877110865</v>
      </c>
      <c r="L69" s="84">
        <f t="shared" si="9"/>
        <v>13204.977499038632</v>
      </c>
      <c r="M69" s="84">
        <f t="shared" ref="M69" si="10">SUM(M66:M68)</f>
        <v>13535.1019365146</v>
      </c>
    </row>
    <row r="70" spans="2:13" s="62" customFormat="1" ht="15" customHeight="1" x14ac:dyDescent="0.15">
      <c r="B70" s="62" t="s">
        <v>55</v>
      </c>
    </row>
    <row r="71" spans="2:13" s="62" customFormat="1" ht="9.75" customHeight="1" x14ac:dyDescent="0.15"/>
    <row r="72" spans="2:13" ht="14.25" customHeight="1" thickBot="1" x14ac:dyDescent="0.25">
      <c r="B72" s="80" t="s">
        <v>50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2:13" s="11" customFormat="1" ht="15" customHeight="1" x14ac:dyDescent="0.2">
      <c r="B73" s="17" t="s">
        <v>49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2:13" ht="14.25" customHeight="1" x14ac:dyDescent="0.2">
      <c r="B74" s="13" t="s">
        <v>42</v>
      </c>
      <c r="C74" s="27">
        <f>+C28</f>
        <v>16473.599999999999</v>
      </c>
      <c r="D74" s="56">
        <f t="shared" ref="D74:M74" si="11">$C$28*(1+$C$10)^(D$63-$C$63)</f>
        <v>16885.439999999999</v>
      </c>
      <c r="E74" s="56">
        <f t="shared" si="11"/>
        <v>17307.575999999997</v>
      </c>
      <c r="F74" s="56">
        <f t="shared" si="11"/>
        <v>17740.265399999997</v>
      </c>
      <c r="G74" s="56">
        <f t="shared" si="11"/>
        <v>18183.772034999995</v>
      </c>
      <c r="H74" s="56">
        <f t="shared" si="11"/>
        <v>18638.366335874991</v>
      </c>
      <c r="I74" s="56">
        <f t="shared" si="11"/>
        <v>19104.325494271867</v>
      </c>
      <c r="J74" s="56">
        <f t="shared" si="11"/>
        <v>19581.933631628664</v>
      </c>
      <c r="K74" s="56">
        <f t="shared" si="11"/>
        <v>20071.48197241938</v>
      </c>
      <c r="L74" s="56">
        <f t="shared" si="11"/>
        <v>20573.269021729859</v>
      </c>
      <c r="M74" s="56">
        <f t="shared" si="11"/>
        <v>21087.600747273107</v>
      </c>
    </row>
    <row r="75" spans="2:13" ht="14.25" customHeight="1" x14ac:dyDescent="0.2">
      <c r="B75" s="13" t="s">
        <v>14</v>
      </c>
      <c r="C75" s="56">
        <f>-C40</f>
        <v>-5900</v>
      </c>
      <c r="D75" s="56">
        <f t="shared" ref="D75:M75" si="12">-$C$40*(1+$C$10)^(D$63-$C$63)</f>
        <v>-6047.4999999999991</v>
      </c>
      <c r="E75" s="56">
        <f t="shared" si="12"/>
        <v>-6198.6874999999991</v>
      </c>
      <c r="F75" s="56">
        <f t="shared" si="12"/>
        <v>-6353.6546874999995</v>
      </c>
      <c r="G75" s="56">
        <f t="shared" si="12"/>
        <v>-6512.4960546874991</v>
      </c>
      <c r="H75" s="56">
        <f t="shared" si="12"/>
        <v>-6675.3084560546858</v>
      </c>
      <c r="I75" s="56">
        <f t="shared" si="12"/>
        <v>-6842.1911674560524</v>
      </c>
      <c r="J75" s="56">
        <f t="shared" si="12"/>
        <v>-7013.2459466424534</v>
      </c>
      <c r="K75" s="56">
        <f t="shared" si="12"/>
        <v>-7188.5770953085148</v>
      </c>
      <c r="L75" s="56">
        <f t="shared" si="12"/>
        <v>-7368.2915226912264</v>
      </c>
      <c r="M75" s="56">
        <f t="shared" si="12"/>
        <v>-7552.4988107585068</v>
      </c>
    </row>
    <row r="76" spans="2:13" ht="14.25" customHeight="1" x14ac:dyDescent="0.2">
      <c r="B76" s="13" t="s">
        <v>43</v>
      </c>
      <c r="C76" s="56">
        <f>-$E$43-$C$44</f>
        <v>0</v>
      </c>
      <c r="D76" s="56">
        <f t="shared" ref="D76:M76" si="13">-$E$43-$C$44</f>
        <v>0</v>
      </c>
      <c r="E76" s="56">
        <f t="shared" si="13"/>
        <v>0</v>
      </c>
      <c r="F76" s="56">
        <f t="shared" si="13"/>
        <v>0</v>
      </c>
      <c r="G76" s="56">
        <f t="shared" si="13"/>
        <v>0</v>
      </c>
      <c r="H76" s="56">
        <f t="shared" si="13"/>
        <v>0</v>
      </c>
      <c r="I76" s="56">
        <f t="shared" si="13"/>
        <v>0</v>
      </c>
      <c r="J76" s="56">
        <f t="shared" si="13"/>
        <v>0</v>
      </c>
      <c r="K76" s="56">
        <f t="shared" si="13"/>
        <v>0</v>
      </c>
      <c r="L76" s="56">
        <f t="shared" si="13"/>
        <v>0</v>
      </c>
      <c r="M76" s="56">
        <f t="shared" si="13"/>
        <v>0</v>
      </c>
    </row>
    <row r="77" spans="2:13" ht="14.25" customHeight="1" x14ac:dyDescent="0.2">
      <c r="B77" s="82" t="s">
        <v>26</v>
      </c>
      <c r="C77" s="83">
        <f t="shared" ref="C77:I77" si="14">SUM(C74:C76)</f>
        <v>10573.599999999999</v>
      </c>
      <c r="D77" s="83">
        <f t="shared" si="14"/>
        <v>10837.939999999999</v>
      </c>
      <c r="E77" s="83">
        <f t="shared" si="14"/>
        <v>11108.888499999997</v>
      </c>
      <c r="F77" s="83">
        <f t="shared" si="14"/>
        <v>11386.610712499998</v>
      </c>
      <c r="G77" s="83">
        <f t="shared" si="14"/>
        <v>11671.275980312495</v>
      </c>
      <c r="H77" s="83">
        <f t="shared" si="14"/>
        <v>11963.057879820306</v>
      </c>
      <c r="I77" s="84">
        <f t="shared" si="14"/>
        <v>12262.134326815814</v>
      </c>
      <c r="J77" s="84">
        <f t="shared" ref="J77:L77" si="15">SUM(J74:J76)</f>
        <v>12568.687684986211</v>
      </c>
      <c r="K77" s="84">
        <f t="shared" si="15"/>
        <v>12882.904877110865</v>
      </c>
      <c r="L77" s="84">
        <f t="shared" si="15"/>
        <v>13204.977499038632</v>
      </c>
      <c r="M77" s="84">
        <f t="shared" ref="M77" si="16">SUM(M74:M76)</f>
        <v>13535.1019365146</v>
      </c>
    </row>
    <row r="78" spans="2:13" s="11" customFormat="1" ht="8.25" customHeight="1" thickBot="1" x14ac:dyDescent="0.25">
      <c r="B78" s="77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2:13" s="11" customFormat="1" ht="15" customHeight="1" x14ac:dyDescent="0.2">
      <c r="B79" s="17" t="s">
        <v>57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2:13" ht="14.25" customHeight="1" x14ac:dyDescent="0.2">
      <c r="B80" s="13" t="s">
        <v>43</v>
      </c>
      <c r="C80" s="56">
        <f>IPMT($C$7,C$63,$C$9,$C$19)-$C$44</f>
        <v>0</v>
      </c>
      <c r="D80" s="56">
        <f t="shared" ref="D80:M80" si="17">IPMT($C$7,D$63,$C$9,$C$19)-$C$44</f>
        <v>0</v>
      </c>
      <c r="E80" s="56">
        <f t="shared" si="17"/>
        <v>0</v>
      </c>
      <c r="F80" s="56">
        <f t="shared" si="17"/>
        <v>0</v>
      </c>
      <c r="G80" s="56">
        <f t="shared" si="17"/>
        <v>0</v>
      </c>
      <c r="H80" s="56">
        <f t="shared" si="17"/>
        <v>0</v>
      </c>
      <c r="I80" s="56">
        <f t="shared" si="17"/>
        <v>0</v>
      </c>
      <c r="J80" s="56">
        <f t="shared" si="17"/>
        <v>0</v>
      </c>
      <c r="K80" s="56">
        <f t="shared" si="17"/>
        <v>0</v>
      </c>
      <c r="L80" s="56">
        <f t="shared" si="17"/>
        <v>0</v>
      </c>
      <c r="M80" s="56">
        <f t="shared" si="17"/>
        <v>0</v>
      </c>
    </row>
    <row r="81" spans="1:13" ht="14.25" customHeight="1" x14ac:dyDescent="0.2">
      <c r="B81" s="9" t="s">
        <v>58</v>
      </c>
      <c r="C81" s="74">
        <f>+C80+C67+C66</f>
        <v>10573.599999999999</v>
      </c>
      <c r="D81" s="74">
        <f t="shared" ref="D81:I81" si="18">+D80+D67+D66</f>
        <v>10837.939999999999</v>
      </c>
      <c r="E81" s="74">
        <f t="shared" si="18"/>
        <v>11108.888499999997</v>
      </c>
      <c r="F81" s="74">
        <f t="shared" si="18"/>
        <v>11386.610712499998</v>
      </c>
      <c r="G81" s="74">
        <f t="shared" si="18"/>
        <v>11671.275980312495</v>
      </c>
      <c r="H81" s="74">
        <f t="shared" si="18"/>
        <v>11963.057879820306</v>
      </c>
      <c r="I81" s="73">
        <f t="shared" si="18"/>
        <v>12262.134326815814</v>
      </c>
      <c r="J81" s="73">
        <f t="shared" ref="J81:L81" si="19">+J80+J67+J66</f>
        <v>12568.687684986211</v>
      </c>
      <c r="K81" s="73">
        <f t="shared" si="19"/>
        <v>12882.904877110865</v>
      </c>
      <c r="L81" s="73">
        <f t="shared" si="19"/>
        <v>13204.977499038632</v>
      </c>
      <c r="M81" s="73">
        <f t="shared" ref="M81" si="20">+M80+M67+M66</f>
        <v>13535.1019365146</v>
      </c>
    </row>
    <row r="82" spans="1:13" ht="14.25" customHeight="1" thickBot="1" x14ac:dyDescent="0.25"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1:13" ht="14.25" customHeight="1" x14ac:dyDescent="0.2">
      <c r="B83" s="14" t="s">
        <v>53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</row>
    <row r="84" spans="1:13" ht="14.25" customHeight="1" x14ac:dyDescent="0.2">
      <c r="B84" s="13" t="s">
        <v>44</v>
      </c>
      <c r="C84" s="56">
        <f>($C$14+$C$17)*(1+$C$11)^(C$63-$C$63+1)</f>
        <v>342875</v>
      </c>
      <c r="D84" s="56">
        <f t="shared" ref="D84:M84" si="21">($C$14+$C$17)*(1+$C$11)^(D$63-$C$63+1)</f>
        <v>361733.125</v>
      </c>
      <c r="E84" s="56">
        <f t="shared" si="21"/>
        <v>381628.44687499997</v>
      </c>
      <c r="F84" s="56">
        <f t="shared" si="21"/>
        <v>402618.01145312493</v>
      </c>
      <c r="G84" s="56">
        <f t="shared" si="21"/>
        <v>424762.00208304677</v>
      </c>
      <c r="H84" s="56">
        <f t="shared" si="21"/>
        <v>448123.91219761432</v>
      </c>
      <c r="I84" s="56">
        <f t="shared" si="21"/>
        <v>472770.72736848309</v>
      </c>
      <c r="J84" s="56">
        <f t="shared" si="21"/>
        <v>498773.11737374967</v>
      </c>
      <c r="K84" s="56">
        <f t="shared" si="21"/>
        <v>526205.63882930588</v>
      </c>
      <c r="L84" s="56">
        <f t="shared" si="21"/>
        <v>555146.94896491768</v>
      </c>
      <c r="M84" s="56">
        <f t="shared" si="21"/>
        <v>585680.03115798812</v>
      </c>
    </row>
    <row r="85" spans="1:13" ht="6.75" customHeight="1" x14ac:dyDescent="0.2">
      <c r="B85" s="13"/>
      <c r="C85" s="27"/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1:13" ht="14.25" customHeight="1" x14ac:dyDescent="0.2">
      <c r="B86" s="13" t="s">
        <v>46</v>
      </c>
      <c r="C86" s="56">
        <f>-$C$19</f>
        <v>0</v>
      </c>
      <c r="D86" s="56">
        <f t="shared" ref="D86:M86" si="22">-$C$19</f>
        <v>0</v>
      </c>
      <c r="E86" s="56">
        <f t="shared" si="22"/>
        <v>0</v>
      </c>
      <c r="F86" s="56">
        <f t="shared" si="22"/>
        <v>0</v>
      </c>
      <c r="G86" s="56">
        <f t="shared" si="22"/>
        <v>0</v>
      </c>
      <c r="H86" s="56">
        <f t="shared" si="22"/>
        <v>0</v>
      </c>
      <c r="I86" s="56">
        <f t="shared" si="22"/>
        <v>0</v>
      </c>
      <c r="J86" s="56">
        <f t="shared" si="22"/>
        <v>0</v>
      </c>
      <c r="K86" s="56">
        <f t="shared" si="22"/>
        <v>0</v>
      </c>
      <c r="L86" s="56">
        <f t="shared" si="22"/>
        <v>0</v>
      </c>
      <c r="M86" s="56">
        <f t="shared" si="22"/>
        <v>0</v>
      </c>
    </row>
    <row r="87" spans="1:13" ht="14.25" customHeight="1" x14ac:dyDescent="0.2">
      <c r="B87" s="13" t="s">
        <v>52</v>
      </c>
      <c r="C87" s="56">
        <f>+$C$20</f>
        <v>341250</v>
      </c>
      <c r="D87" s="56">
        <f t="shared" ref="D87:M87" si="23">+$C$20</f>
        <v>341250</v>
      </c>
      <c r="E87" s="56">
        <f t="shared" si="23"/>
        <v>341250</v>
      </c>
      <c r="F87" s="56">
        <f t="shared" si="23"/>
        <v>341250</v>
      </c>
      <c r="G87" s="56">
        <f t="shared" si="23"/>
        <v>341250</v>
      </c>
      <c r="H87" s="56">
        <f t="shared" si="23"/>
        <v>341250</v>
      </c>
      <c r="I87" s="56">
        <f t="shared" si="23"/>
        <v>341250</v>
      </c>
      <c r="J87" s="56">
        <f t="shared" si="23"/>
        <v>341250</v>
      </c>
      <c r="K87" s="56">
        <f t="shared" si="23"/>
        <v>341250</v>
      </c>
      <c r="L87" s="56">
        <f t="shared" si="23"/>
        <v>341250</v>
      </c>
      <c r="M87" s="56">
        <f t="shared" si="23"/>
        <v>341250</v>
      </c>
    </row>
    <row r="88" spans="1:13" ht="14.25" customHeight="1" x14ac:dyDescent="0.2">
      <c r="B88" s="68" t="s">
        <v>45</v>
      </c>
      <c r="C88" s="69">
        <f>+C86+C84-C87</f>
        <v>1625</v>
      </c>
      <c r="D88" s="69">
        <f t="shared" ref="D88:I88" si="24">+D86+D84-D87</f>
        <v>20483.125</v>
      </c>
      <c r="E88" s="69">
        <f t="shared" si="24"/>
        <v>40378.446874999965</v>
      </c>
      <c r="F88" s="69">
        <f t="shared" si="24"/>
        <v>61368.011453124927</v>
      </c>
      <c r="G88" s="69">
        <f t="shared" si="24"/>
        <v>83512.002083046769</v>
      </c>
      <c r="H88" s="69">
        <f t="shared" si="24"/>
        <v>106873.91219761432</v>
      </c>
      <c r="I88" s="69">
        <f t="shared" si="24"/>
        <v>131520.72736848309</v>
      </c>
      <c r="J88" s="69">
        <f t="shared" ref="J88:L88" si="25">+J86+J84-J87</f>
        <v>157523.11737374967</v>
      </c>
      <c r="K88" s="69">
        <f t="shared" si="25"/>
        <v>184955.63882930588</v>
      </c>
      <c r="L88" s="69">
        <f t="shared" si="25"/>
        <v>213896.94896491768</v>
      </c>
      <c r="M88" s="69">
        <f t="shared" ref="M88" si="26">+M86+M84-M87</f>
        <v>244430.03115798812</v>
      </c>
    </row>
    <row r="89" spans="1:13" ht="6.75" customHeight="1" x14ac:dyDescent="0.2">
      <c r="B89" s="58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4.25" customHeight="1" x14ac:dyDescent="0.2">
      <c r="B90" s="13" t="s">
        <v>47</v>
      </c>
      <c r="C90" s="56">
        <f t="shared" ref="C90:M90" si="27">IPMT($C$7,C$63+1,$C$9,$C$19)/$C$7</f>
        <v>0</v>
      </c>
      <c r="D90" s="56">
        <f t="shared" si="27"/>
        <v>0</v>
      </c>
      <c r="E90" s="56">
        <f t="shared" si="27"/>
        <v>0</v>
      </c>
      <c r="F90" s="56">
        <f t="shared" si="27"/>
        <v>0</v>
      </c>
      <c r="G90" s="56">
        <f t="shared" si="27"/>
        <v>0</v>
      </c>
      <c r="H90" s="56">
        <f t="shared" si="27"/>
        <v>0</v>
      </c>
      <c r="I90" s="56">
        <f t="shared" si="27"/>
        <v>0</v>
      </c>
      <c r="J90" s="56">
        <f t="shared" si="27"/>
        <v>0</v>
      </c>
      <c r="K90" s="56">
        <f t="shared" si="27"/>
        <v>0</v>
      </c>
      <c r="L90" s="56">
        <f t="shared" si="27"/>
        <v>0</v>
      </c>
      <c r="M90" s="56">
        <f t="shared" si="27"/>
        <v>0</v>
      </c>
    </row>
    <row r="91" spans="1:13" ht="14.25" customHeight="1" x14ac:dyDescent="0.2">
      <c r="B91" s="13" t="s">
        <v>52</v>
      </c>
      <c r="C91" s="56">
        <f>+$C$20</f>
        <v>341250</v>
      </c>
      <c r="D91" s="56">
        <f t="shared" ref="D91:M91" si="28">+$C$20</f>
        <v>341250</v>
      </c>
      <c r="E91" s="56">
        <f t="shared" si="28"/>
        <v>341250</v>
      </c>
      <c r="F91" s="56">
        <f t="shared" si="28"/>
        <v>341250</v>
      </c>
      <c r="G91" s="56">
        <f t="shared" si="28"/>
        <v>341250</v>
      </c>
      <c r="H91" s="56">
        <f t="shared" si="28"/>
        <v>341250</v>
      </c>
      <c r="I91" s="56">
        <f t="shared" si="28"/>
        <v>341250</v>
      </c>
      <c r="J91" s="56">
        <f t="shared" si="28"/>
        <v>341250</v>
      </c>
      <c r="K91" s="56">
        <f t="shared" si="28"/>
        <v>341250</v>
      </c>
      <c r="L91" s="56">
        <f t="shared" si="28"/>
        <v>341250</v>
      </c>
      <c r="M91" s="56">
        <f t="shared" si="28"/>
        <v>341250</v>
      </c>
    </row>
    <row r="92" spans="1:13" ht="14.25" customHeight="1" x14ac:dyDescent="0.2">
      <c r="B92" s="68" t="s">
        <v>48</v>
      </c>
      <c r="C92" s="69">
        <f>+C90+C84-C91</f>
        <v>1625</v>
      </c>
      <c r="D92" s="69">
        <f t="shared" ref="D92:I92" si="29">+D90+D84-D91</f>
        <v>20483.125</v>
      </c>
      <c r="E92" s="69">
        <f t="shared" si="29"/>
        <v>40378.446874999965</v>
      </c>
      <c r="F92" s="69">
        <f t="shared" si="29"/>
        <v>61368.011453124927</v>
      </c>
      <c r="G92" s="69">
        <f t="shared" si="29"/>
        <v>83512.002083046769</v>
      </c>
      <c r="H92" s="69">
        <f t="shared" si="29"/>
        <v>106873.91219761432</v>
      </c>
      <c r="I92" s="69">
        <f t="shared" si="29"/>
        <v>131520.72736848309</v>
      </c>
      <c r="J92" s="69">
        <f t="shared" ref="J92:L92" si="30">+J90+J84-J91</f>
        <v>157523.11737374967</v>
      </c>
      <c r="K92" s="69">
        <f t="shared" si="30"/>
        <v>184955.63882930588</v>
      </c>
      <c r="L92" s="69">
        <f t="shared" si="30"/>
        <v>213896.94896491768</v>
      </c>
      <c r="M92" s="69">
        <f t="shared" ref="M92" si="31">+M90+M84-M91</f>
        <v>244430.03115798812</v>
      </c>
    </row>
    <row r="93" spans="1:13" s="11" customFormat="1" ht="9.75" customHeight="1" x14ac:dyDescent="0.2">
      <c r="B93" s="13"/>
      <c r="C93" s="70"/>
      <c r="D93" s="60"/>
      <c r="E93" s="60"/>
      <c r="F93" s="60"/>
      <c r="G93" s="60"/>
      <c r="H93" s="60"/>
      <c r="I93" s="60"/>
      <c r="J93" s="60"/>
      <c r="K93" s="60"/>
      <c r="L93" s="60"/>
      <c r="M93" s="60"/>
    </row>
    <row r="94" spans="1:13" ht="3.95" customHeight="1" x14ac:dyDescent="0.2">
      <c r="A94" s="7"/>
      <c r="B94" s="7"/>
      <c r="C94" s="7"/>
      <c r="D94" s="7"/>
      <c r="E94" s="22"/>
      <c r="F94" s="7"/>
      <c r="G94" s="7"/>
      <c r="H94" s="7"/>
      <c r="I94" s="7"/>
    </row>
    <row r="95" spans="1:13" x14ac:dyDescent="0.2">
      <c r="C95" s="27"/>
      <c r="D95" s="27"/>
      <c r="F95" s="27"/>
      <c r="G95" s="27"/>
      <c r="H95" s="27"/>
      <c r="I95" s="27"/>
    </row>
    <row r="96" spans="1:13" x14ac:dyDescent="0.2">
      <c r="C96" s="75"/>
      <c r="D96" s="75"/>
      <c r="E96" s="75"/>
      <c r="F96" s="75"/>
      <c r="G96" s="75"/>
      <c r="H96" s="75"/>
      <c r="I96" s="75"/>
    </row>
    <row r="97" spans="4:4" x14ac:dyDescent="0.2">
      <c r="D97" s="57"/>
    </row>
  </sheetData>
  <mergeCells count="1">
    <mergeCell ref="B2:I2"/>
  </mergeCells>
  <conditionalFormatting sqref="D61">
    <cfRule type="expression" dxfId="19" priority="7">
      <formula>D61&gt;0</formula>
    </cfRule>
    <cfRule type="expression" dxfId="18" priority="8">
      <formula>D61&lt;0</formula>
    </cfRule>
  </conditionalFormatting>
  <conditionalFormatting sqref="E61">
    <cfRule type="expression" dxfId="17" priority="5">
      <formula>E61&gt;0</formula>
    </cfRule>
    <cfRule type="expression" dxfId="16" priority="6">
      <formula>E61&lt;0</formula>
    </cfRule>
  </conditionalFormatting>
  <conditionalFormatting sqref="C69:M69">
    <cfRule type="expression" dxfId="15" priority="3">
      <formula>C69&gt;0</formula>
    </cfRule>
    <cfRule type="expression" dxfId="14" priority="4">
      <formula>C69&lt;0</formula>
    </cfRule>
  </conditionalFormatting>
  <conditionalFormatting sqref="C77:M77">
    <cfRule type="expression" dxfId="13" priority="1">
      <formula>C77&gt;0</formula>
    </cfRule>
    <cfRule type="expression" dxfId="12" priority="2">
      <formula>C77&lt;0</formula>
    </cfRule>
  </conditionalFormatting>
  <printOptions horizontalCentered="1"/>
  <pageMargins left="0.75" right="0.75" top="1" bottom="1" header="0.5" footer="0.5"/>
  <pageSetup scale="8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pageSetUpPr fitToPage="1"/>
  </sheetPr>
  <dimension ref="A1:M98"/>
  <sheetViews>
    <sheetView showGridLines="0" tabSelected="1" workbookViewId="0">
      <pane xSplit="3" ySplit="2" topLeftCell="D72" activePane="bottomRight" state="frozen"/>
      <selection pane="topRight" activeCell="D1" sqref="D1"/>
      <selection pane="bottomLeft" activeCell="A3" sqref="A3"/>
      <selection pane="bottomRight" activeCell="E99" sqref="E99"/>
    </sheetView>
  </sheetViews>
  <sheetFormatPr defaultColWidth="9.140625" defaultRowHeight="12.75" x14ac:dyDescent="0.2"/>
  <cols>
    <col min="1" max="1" width="1.85546875" style="1" customWidth="1"/>
    <col min="2" max="2" width="24.140625" style="1" customWidth="1"/>
    <col min="3" max="3" width="16.5703125" style="1" customWidth="1"/>
    <col min="4" max="4" width="15" style="1" customWidth="1"/>
    <col min="5" max="5" width="15" style="27" customWidth="1"/>
    <col min="6" max="6" width="15" style="1" customWidth="1"/>
    <col min="7" max="7" width="15.5703125" style="1" customWidth="1"/>
    <col min="8" max="8" width="17.140625" style="1" customWidth="1"/>
    <col min="9" max="13" width="11.42578125" style="1" customWidth="1"/>
    <col min="14" max="16384" width="9.140625" style="1"/>
  </cols>
  <sheetData>
    <row r="1" spans="1:9" ht="45" customHeight="1" thickBot="1" x14ac:dyDescent="0.25">
      <c r="A1" s="40"/>
      <c r="B1" s="32" t="s">
        <v>1</v>
      </c>
      <c r="C1" s="21"/>
      <c r="D1" s="21"/>
      <c r="E1" s="21"/>
      <c r="F1" s="21"/>
      <c r="G1" s="21"/>
      <c r="H1" s="19"/>
      <c r="I1" s="18"/>
    </row>
    <row r="2" spans="1:9" ht="22.5" customHeight="1" x14ac:dyDescent="0.2">
      <c r="A2" s="20"/>
      <c r="B2" s="87" t="s">
        <v>60</v>
      </c>
      <c r="C2" s="87"/>
      <c r="D2" s="88"/>
      <c r="E2" s="88"/>
      <c r="F2" s="88"/>
      <c r="G2" s="88"/>
      <c r="H2" s="88"/>
      <c r="I2" s="88"/>
    </row>
    <row r="3" spans="1:9" ht="8.1" customHeight="1" thickBot="1" x14ac:dyDescent="0.25">
      <c r="B3" s="12"/>
      <c r="C3" s="12"/>
      <c r="D3" s="2"/>
      <c r="E3" s="23"/>
      <c r="F3" s="8"/>
      <c r="G3" s="2"/>
      <c r="H3" s="2"/>
      <c r="I3" s="8"/>
    </row>
    <row r="4" spans="1:9" ht="17.100000000000001" customHeight="1" x14ac:dyDescent="0.2">
      <c r="B4" s="41" t="s">
        <v>63</v>
      </c>
      <c r="C4" s="16"/>
      <c r="E4" s="1"/>
    </row>
    <row r="5" spans="1:9" x14ac:dyDescent="0.2">
      <c r="B5" s="65" t="s">
        <v>5</v>
      </c>
      <c r="C5" s="33">
        <v>0</v>
      </c>
      <c r="E5" s="1"/>
    </row>
    <row r="6" spans="1:9" x14ac:dyDescent="0.2">
      <c r="B6" s="66" t="s">
        <v>6</v>
      </c>
      <c r="C6" s="34">
        <v>0.05</v>
      </c>
      <c r="D6" s="39"/>
      <c r="E6" s="1"/>
    </row>
    <row r="7" spans="1:9" x14ac:dyDescent="0.2">
      <c r="B7" s="66" t="s">
        <v>7</v>
      </c>
      <c r="C7" s="85">
        <v>5.74E-2</v>
      </c>
      <c r="E7" s="1"/>
    </row>
    <row r="8" spans="1:9" x14ac:dyDescent="0.2">
      <c r="B8" s="66" t="s">
        <v>24</v>
      </c>
      <c r="C8" s="34">
        <v>0.1</v>
      </c>
      <c r="E8" s="1"/>
    </row>
    <row r="9" spans="1:9" x14ac:dyDescent="0.2">
      <c r="A9" s="2"/>
      <c r="B9" s="66" t="s">
        <v>54</v>
      </c>
      <c r="C9" s="43">
        <v>25</v>
      </c>
      <c r="E9" s="1"/>
    </row>
    <row r="10" spans="1:9" x14ac:dyDescent="0.2">
      <c r="A10" s="2"/>
      <c r="B10" s="66" t="s">
        <v>41</v>
      </c>
      <c r="C10" s="34">
        <v>2.5000000000000001E-2</v>
      </c>
      <c r="E10" s="1"/>
    </row>
    <row r="11" spans="1:9" x14ac:dyDescent="0.2">
      <c r="A11" s="2"/>
      <c r="B11" s="67" t="s">
        <v>40</v>
      </c>
      <c r="C11" s="34">
        <v>5.5E-2</v>
      </c>
      <c r="E11" s="1"/>
    </row>
    <row r="12" spans="1:9" ht="13.5" thickBot="1" x14ac:dyDescent="0.25">
      <c r="B12" s="4"/>
      <c r="C12" s="4"/>
      <c r="E12" s="1"/>
    </row>
    <row r="13" spans="1:9" ht="14.25" x14ac:dyDescent="0.2">
      <c r="B13" s="41" t="s">
        <v>59</v>
      </c>
      <c r="C13" s="16"/>
      <c r="E13" s="1"/>
    </row>
    <row r="14" spans="1:9" x14ac:dyDescent="0.2">
      <c r="B14" s="3" t="s">
        <v>3</v>
      </c>
      <c r="C14" s="35">
        <v>585000</v>
      </c>
      <c r="E14" s="1"/>
    </row>
    <row r="15" spans="1:9" x14ac:dyDescent="0.2">
      <c r="B15" s="3" t="s">
        <v>8</v>
      </c>
      <c r="C15" s="31">
        <f>C6*C14</f>
        <v>29250</v>
      </c>
      <c r="E15" s="1"/>
    </row>
    <row r="16" spans="1:9" x14ac:dyDescent="0.2">
      <c r="B16" s="3" t="s">
        <v>62</v>
      </c>
      <c r="C16" s="35">
        <v>0</v>
      </c>
      <c r="E16" s="1"/>
    </row>
    <row r="17" spans="2:5" x14ac:dyDescent="0.2">
      <c r="B17" s="3" t="s">
        <v>61</v>
      </c>
      <c r="C17" s="35">
        <v>0</v>
      </c>
      <c r="E17" s="1"/>
    </row>
    <row r="18" spans="2:5" x14ac:dyDescent="0.2">
      <c r="B18" s="3" t="s">
        <v>32</v>
      </c>
      <c r="C18" s="35"/>
      <c r="E18" s="1"/>
    </row>
    <row r="19" spans="2:5" ht="13.5" thickBot="1" x14ac:dyDescent="0.25">
      <c r="B19" s="3" t="s">
        <v>2</v>
      </c>
      <c r="C19" s="47">
        <f>C14*C5</f>
        <v>0</v>
      </c>
      <c r="E19" s="1"/>
    </row>
    <row r="20" spans="2:5" ht="13.5" thickBot="1" x14ac:dyDescent="0.25">
      <c r="B20" s="71" t="s">
        <v>9</v>
      </c>
      <c r="C20" s="48">
        <f>SUM(C14:C18)-C19</f>
        <v>614250</v>
      </c>
      <c r="D20" s="39"/>
      <c r="E20" s="1"/>
    </row>
    <row r="21" spans="2:5" ht="13.5" thickBot="1" x14ac:dyDescent="0.25">
      <c r="B21" s="3"/>
      <c r="C21" s="13"/>
      <c r="E21" s="1"/>
    </row>
    <row r="22" spans="2:5" ht="13.5" thickBot="1" x14ac:dyDescent="0.25">
      <c r="B22" s="9" t="s">
        <v>0</v>
      </c>
      <c r="C22" s="28">
        <f>SUM(C14:C18)</f>
        <v>614250</v>
      </c>
      <c r="E22" s="1"/>
    </row>
    <row r="23" spans="2:5" ht="13.5" thickBot="1" x14ac:dyDescent="0.25">
      <c r="B23" s="4"/>
      <c r="C23" s="4"/>
      <c r="E23" s="1"/>
    </row>
    <row r="24" spans="2:5" ht="14.25" x14ac:dyDescent="0.2">
      <c r="B24" s="41" t="s">
        <v>33</v>
      </c>
      <c r="C24" s="16"/>
      <c r="E24" s="1"/>
    </row>
    <row r="25" spans="2:5" x14ac:dyDescent="0.2">
      <c r="B25" s="3" t="s">
        <v>10</v>
      </c>
      <c r="C25" s="35">
        <v>500</v>
      </c>
      <c r="E25" s="1"/>
    </row>
    <row r="26" spans="2:5" x14ac:dyDescent="0.2">
      <c r="B26" s="3" t="s">
        <v>12</v>
      </c>
      <c r="C26" s="38">
        <f>(+C25*52)/C14</f>
        <v>4.4444444444444446E-2</v>
      </c>
      <c r="D26" s="39"/>
      <c r="E26" s="1"/>
    </row>
    <row r="27" spans="2:5" ht="13.5" thickBot="1" x14ac:dyDescent="0.25">
      <c r="B27" s="3" t="s">
        <v>11</v>
      </c>
      <c r="C27" s="36">
        <v>0.96</v>
      </c>
      <c r="D27" s="39"/>
      <c r="E27" s="1"/>
    </row>
    <row r="28" spans="2:5" ht="13.5" thickBot="1" x14ac:dyDescent="0.25">
      <c r="B28" s="9" t="s">
        <v>0</v>
      </c>
      <c r="C28" s="28">
        <f>+C25*52*C27</f>
        <v>24960</v>
      </c>
      <c r="E28" s="1"/>
    </row>
    <row r="29" spans="2:5" ht="13.5" thickBot="1" x14ac:dyDescent="0.25">
      <c r="B29" s="4"/>
      <c r="C29" s="4"/>
    </row>
    <row r="30" spans="2:5" ht="14.25" x14ac:dyDescent="0.2">
      <c r="B30" s="41" t="s">
        <v>14</v>
      </c>
      <c r="C30" s="16"/>
    </row>
    <row r="31" spans="2:5" x14ac:dyDescent="0.2">
      <c r="B31" s="6" t="s">
        <v>17</v>
      </c>
      <c r="C31" s="35">
        <v>2000</v>
      </c>
    </row>
    <row r="32" spans="2:5" x14ac:dyDescent="0.2">
      <c r="B32" s="3" t="s">
        <v>18</v>
      </c>
      <c r="C32" s="35">
        <v>1200</v>
      </c>
    </row>
    <row r="33" spans="2:5" x14ac:dyDescent="0.2">
      <c r="B33" s="3" t="s">
        <v>19</v>
      </c>
      <c r="C33" s="35">
        <v>0</v>
      </c>
    </row>
    <row r="34" spans="2:5" x14ac:dyDescent="0.2">
      <c r="B34" s="3" t="s">
        <v>20</v>
      </c>
      <c r="C34" s="35">
        <v>0</v>
      </c>
    </row>
    <row r="35" spans="2:5" x14ac:dyDescent="0.2">
      <c r="B35" s="3" t="s">
        <v>21</v>
      </c>
      <c r="C35" s="35">
        <v>700</v>
      </c>
    </row>
    <row r="36" spans="2:5" x14ac:dyDescent="0.2">
      <c r="B36" s="3" t="s">
        <v>25</v>
      </c>
      <c r="C36" s="35">
        <v>0</v>
      </c>
    </row>
    <row r="37" spans="2:5" x14ac:dyDescent="0.2">
      <c r="B37" s="3" t="s">
        <v>34</v>
      </c>
      <c r="C37" s="37">
        <v>0.08</v>
      </c>
    </row>
    <row r="38" spans="2:5" x14ac:dyDescent="0.2">
      <c r="B38" s="3" t="s">
        <v>23</v>
      </c>
      <c r="C38" s="31">
        <f>(C25*C27*52)*C37</f>
        <v>1996.8</v>
      </c>
    </row>
    <row r="39" spans="2:5" x14ac:dyDescent="0.2">
      <c r="B39" s="3" t="s">
        <v>22</v>
      </c>
      <c r="C39" s="47">
        <f>+C38*C8</f>
        <v>199.68</v>
      </c>
    </row>
    <row r="40" spans="2:5" x14ac:dyDescent="0.2">
      <c r="B40" s="9" t="s">
        <v>0</v>
      </c>
      <c r="C40" s="49">
        <f>SUM(C31:C39)</f>
        <v>6096.56</v>
      </c>
    </row>
    <row r="41" spans="2:5" ht="13.5" thickBot="1" x14ac:dyDescent="0.25">
      <c r="B41" s="4"/>
      <c r="C41" s="4"/>
      <c r="D41" s="5"/>
      <c r="E41" s="25"/>
    </row>
    <row r="42" spans="2:5" ht="14.25" x14ac:dyDescent="0.2">
      <c r="B42" s="41" t="s">
        <v>13</v>
      </c>
      <c r="C42" s="10"/>
      <c r="D42" s="45" t="s">
        <v>35</v>
      </c>
      <c r="E42" s="45" t="s">
        <v>36</v>
      </c>
    </row>
    <row r="43" spans="2:5" x14ac:dyDescent="0.2">
      <c r="B43" s="50" t="s">
        <v>15</v>
      </c>
      <c r="D43" s="31">
        <f>+C19*C7</f>
        <v>0</v>
      </c>
      <c r="E43" s="31">
        <f>-PMT(C7/12,C9*12,C19)*12</f>
        <v>0</v>
      </c>
    </row>
    <row r="44" spans="2:5" x14ac:dyDescent="0.2">
      <c r="B44" s="13" t="s">
        <v>16</v>
      </c>
      <c r="C44" s="42">
        <v>0</v>
      </c>
      <c r="E44" s="1"/>
    </row>
    <row r="45" spans="2:5" ht="13.5" thickBot="1" x14ac:dyDescent="0.25">
      <c r="E45" s="1"/>
    </row>
    <row r="46" spans="2:5" ht="14.25" x14ac:dyDescent="0.2">
      <c r="B46" s="41" t="s">
        <v>38</v>
      </c>
      <c r="C46" s="16"/>
      <c r="D46" s="15"/>
      <c r="E46" s="1"/>
    </row>
    <row r="47" spans="2:5" x14ac:dyDescent="0.2">
      <c r="B47" s="6" t="s">
        <v>4</v>
      </c>
      <c r="C47" s="13"/>
      <c r="D47" s="31">
        <f>+C28</f>
        <v>24960</v>
      </c>
      <c r="E47" s="1"/>
    </row>
    <row r="48" spans="2:5" x14ac:dyDescent="0.2">
      <c r="B48" s="3" t="s">
        <v>14</v>
      </c>
      <c r="C48" s="13"/>
      <c r="D48" s="46">
        <f>-C40</f>
        <v>-6096.56</v>
      </c>
      <c r="E48" s="1"/>
    </row>
    <row r="49" spans="2:13" x14ac:dyDescent="0.2">
      <c r="B49" s="3" t="s">
        <v>37</v>
      </c>
      <c r="C49" s="13"/>
      <c r="D49" s="52">
        <f>-C44-D43</f>
        <v>0</v>
      </c>
      <c r="E49" s="1"/>
    </row>
    <row r="50" spans="2:13" x14ac:dyDescent="0.2">
      <c r="B50" s="9" t="s">
        <v>39</v>
      </c>
      <c r="C50" s="51"/>
      <c r="D50" s="54">
        <f>SUM(D47:D49)</f>
        <v>18863.439999999999</v>
      </c>
      <c r="E50" s="1"/>
    </row>
    <row r="51" spans="2:13" ht="13.5" thickBot="1" x14ac:dyDescent="0.25">
      <c r="B51" s="4"/>
      <c r="C51" s="4"/>
      <c r="D51" s="5"/>
      <c r="E51" s="25"/>
    </row>
    <row r="52" spans="2:13" ht="14.25" x14ac:dyDescent="0.2">
      <c r="B52" s="41" t="s">
        <v>26</v>
      </c>
      <c r="C52" s="16"/>
      <c r="D52" s="15" t="str">
        <f>+D42</f>
        <v>Interest Only</v>
      </c>
      <c r="E52" s="15" t="str">
        <f>+E42</f>
        <v>P&amp;I Loan</v>
      </c>
    </row>
    <row r="53" spans="2:13" x14ac:dyDescent="0.2">
      <c r="B53" s="6" t="s">
        <v>4</v>
      </c>
      <c r="C53" s="13"/>
      <c r="D53" s="31">
        <f>+D47</f>
        <v>24960</v>
      </c>
      <c r="E53" s="31">
        <f>+C28</f>
        <v>24960</v>
      </c>
    </row>
    <row r="54" spans="2:13" x14ac:dyDescent="0.2">
      <c r="B54" s="3" t="s">
        <v>14</v>
      </c>
      <c r="C54" s="13"/>
      <c r="D54" s="46">
        <f>+D48</f>
        <v>-6096.56</v>
      </c>
      <c r="E54" s="46">
        <f>-C40</f>
        <v>-6096.56</v>
      </c>
    </row>
    <row r="55" spans="2:13" x14ac:dyDescent="0.2">
      <c r="B55" s="3" t="s">
        <v>37</v>
      </c>
      <c r="C55" s="13"/>
      <c r="D55" s="52">
        <f>+D49</f>
        <v>0</v>
      </c>
      <c r="E55" s="52">
        <f>-E43-C44</f>
        <v>0</v>
      </c>
    </row>
    <row r="56" spans="2:13" x14ac:dyDescent="0.2">
      <c r="B56" s="9" t="s">
        <v>56</v>
      </c>
      <c r="C56" s="51"/>
      <c r="D56" s="53">
        <f>SUM(D53:D55)</f>
        <v>18863.439999999999</v>
      </c>
      <c r="E56" s="54">
        <f>SUM(E53:E55)</f>
        <v>18863.439999999999</v>
      </c>
    </row>
    <row r="57" spans="2:13" ht="13.5" thickBot="1" x14ac:dyDescent="0.25">
      <c r="B57" s="4"/>
      <c r="C57" s="4"/>
      <c r="D57" s="5"/>
      <c r="E57" s="25"/>
    </row>
    <row r="58" spans="2:13" ht="15" thickBot="1" x14ac:dyDescent="0.25">
      <c r="B58" s="14" t="s">
        <v>27</v>
      </c>
      <c r="C58" s="15" t="s">
        <v>29</v>
      </c>
      <c r="D58" s="24" t="s">
        <v>30</v>
      </c>
      <c r="E58" s="24" t="s">
        <v>30</v>
      </c>
    </row>
    <row r="59" spans="2:13" ht="15" thickBot="1" x14ac:dyDescent="0.25">
      <c r="B59" s="55"/>
      <c r="C59" s="15"/>
      <c r="D59" s="72" t="str">
        <f>+D52</f>
        <v>Interest Only</v>
      </c>
      <c r="E59" s="72" t="str">
        <f>+E52</f>
        <v>P&amp;I Loan</v>
      </c>
    </row>
    <row r="60" spans="2:13" ht="21" customHeight="1" x14ac:dyDescent="0.2">
      <c r="B60" s="13" t="s">
        <v>28</v>
      </c>
      <c r="C60" s="29">
        <f>C20</f>
        <v>614250</v>
      </c>
      <c r="D60" s="26">
        <f>+D56</f>
        <v>18863.439999999999</v>
      </c>
      <c r="E60" s="26">
        <f>E56</f>
        <v>18863.439999999999</v>
      </c>
    </row>
    <row r="61" spans="2:13" ht="19.5" customHeight="1" x14ac:dyDescent="0.2">
      <c r="B61" s="13" t="s">
        <v>31</v>
      </c>
      <c r="C61" s="13"/>
      <c r="D61" s="30">
        <f>D60/C60</f>
        <v>3.0709711029711026E-2</v>
      </c>
      <c r="E61" s="30">
        <f>E60/C60</f>
        <v>3.0709711029711026E-2</v>
      </c>
    </row>
    <row r="62" spans="2:13" ht="21" customHeight="1" thickBot="1" x14ac:dyDescent="0.25">
      <c r="B62" s="13"/>
      <c r="C62" s="13"/>
      <c r="D62" s="13"/>
      <c r="E62" s="13"/>
    </row>
    <row r="63" spans="2:13" ht="21" customHeight="1" thickBot="1" x14ac:dyDescent="0.25">
      <c r="B63" s="14" t="s">
        <v>51</v>
      </c>
      <c r="C63" s="44">
        <v>1</v>
      </c>
      <c r="D63" s="44">
        <f t="shared" ref="D63:M63" si="0">+C63+1</f>
        <v>2</v>
      </c>
      <c r="E63" s="44">
        <f t="shared" si="0"/>
        <v>3</v>
      </c>
      <c r="F63" s="44">
        <f t="shared" si="0"/>
        <v>4</v>
      </c>
      <c r="G63" s="44">
        <f t="shared" si="0"/>
        <v>5</v>
      </c>
      <c r="H63" s="44">
        <f t="shared" si="0"/>
        <v>6</v>
      </c>
      <c r="I63" s="44">
        <f t="shared" si="0"/>
        <v>7</v>
      </c>
      <c r="J63" s="44">
        <f t="shared" si="0"/>
        <v>8</v>
      </c>
      <c r="K63" s="44">
        <f t="shared" si="0"/>
        <v>9</v>
      </c>
      <c r="L63" s="44">
        <f t="shared" si="0"/>
        <v>10</v>
      </c>
      <c r="M63" s="44">
        <f t="shared" si="0"/>
        <v>11</v>
      </c>
    </row>
    <row r="64" spans="2:13" s="11" customFormat="1" ht="6" customHeight="1" x14ac:dyDescent="0.2">
      <c r="B64" s="79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2:13" ht="14.25" customHeight="1" x14ac:dyDescent="0.2">
      <c r="B65" s="80" t="s">
        <v>64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2:13" ht="14.25" customHeight="1" x14ac:dyDescent="0.2">
      <c r="B66" s="13" t="s">
        <v>42</v>
      </c>
      <c r="C66" s="27">
        <f>+C28</f>
        <v>24960</v>
      </c>
      <c r="D66" s="56">
        <f t="shared" ref="D66:M66" si="1">$C$28*(1+$C$10)^(D$63-$C$63)</f>
        <v>25583.999999999996</v>
      </c>
      <c r="E66" s="56">
        <f t="shared" si="1"/>
        <v>26223.599999999999</v>
      </c>
      <c r="F66" s="56">
        <f t="shared" si="1"/>
        <v>26879.19</v>
      </c>
      <c r="G66" s="56">
        <f t="shared" si="1"/>
        <v>27551.169749999994</v>
      </c>
      <c r="H66" s="56">
        <f t="shared" si="1"/>
        <v>28239.948993749993</v>
      </c>
      <c r="I66" s="56">
        <f t="shared" si="1"/>
        <v>28945.947718593739</v>
      </c>
      <c r="J66" s="56">
        <f t="shared" si="1"/>
        <v>29669.596411558585</v>
      </c>
      <c r="K66" s="56">
        <f t="shared" si="1"/>
        <v>30411.336321847546</v>
      </c>
      <c r="L66" s="56">
        <f t="shared" si="1"/>
        <v>31171.61972989373</v>
      </c>
      <c r="M66" s="56">
        <f t="shared" si="1"/>
        <v>31950.910223141072</v>
      </c>
    </row>
    <row r="67" spans="2:13" ht="14.25" customHeight="1" x14ac:dyDescent="0.2">
      <c r="B67" s="13" t="s">
        <v>14</v>
      </c>
      <c r="C67" s="56">
        <f>-C40</f>
        <v>-6096.56</v>
      </c>
      <c r="D67" s="56">
        <f t="shared" ref="D67:M67" si="2">-$C$40*(1+$C$10)^(D$63-$C$63)</f>
        <v>-6248.9740000000002</v>
      </c>
      <c r="E67" s="56">
        <f t="shared" si="2"/>
        <v>-6405.1983499999997</v>
      </c>
      <c r="F67" s="56">
        <f t="shared" si="2"/>
        <v>-6565.3283087499995</v>
      </c>
      <c r="G67" s="56">
        <f t="shared" si="2"/>
        <v>-6729.4615164687493</v>
      </c>
      <c r="H67" s="56">
        <f t="shared" si="2"/>
        <v>-6897.6980543804675</v>
      </c>
      <c r="I67" s="56">
        <f t="shared" si="2"/>
        <v>-7070.1405057399779</v>
      </c>
      <c r="J67" s="56">
        <f t="shared" si="2"/>
        <v>-7246.8940183834784</v>
      </c>
      <c r="K67" s="56">
        <f t="shared" si="2"/>
        <v>-7428.0663688430641</v>
      </c>
      <c r="L67" s="56">
        <f t="shared" si="2"/>
        <v>-7613.7680280641398</v>
      </c>
      <c r="M67" s="56">
        <f t="shared" si="2"/>
        <v>-7804.1122287657436</v>
      </c>
    </row>
    <row r="68" spans="2:13" ht="14.25" customHeight="1" x14ac:dyDescent="0.2">
      <c r="B68" s="13" t="s">
        <v>43</v>
      </c>
      <c r="C68" s="56">
        <f>+$D$49</f>
        <v>0</v>
      </c>
      <c r="D68" s="56">
        <f t="shared" ref="D68:M68" si="3">+$D$49</f>
        <v>0</v>
      </c>
      <c r="E68" s="56">
        <f t="shared" si="3"/>
        <v>0</v>
      </c>
      <c r="F68" s="56">
        <f t="shared" si="3"/>
        <v>0</v>
      </c>
      <c r="G68" s="56">
        <f t="shared" si="3"/>
        <v>0</v>
      </c>
      <c r="H68" s="56">
        <f t="shared" si="3"/>
        <v>0</v>
      </c>
      <c r="I68" s="56">
        <f t="shared" si="3"/>
        <v>0</v>
      </c>
      <c r="J68" s="56">
        <f t="shared" si="3"/>
        <v>0</v>
      </c>
      <c r="K68" s="56">
        <f t="shared" si="3"/>
        <v>0</v>
      </c>
      <c r="L68" s="56">
        <f t="shared" si="3"/>
        <v>0</v>
      </c>
      <c r="M68" s="56">
        <f t="shared" si="3"/>
        <v>0</v>
      </c>
    </row>
    <row r="69" spans="2:13" ht="14.25" customHeight="1" x14ac:dyDescent="0.2">
      <c r="B69" s="82" t="s">
        <v>26</v>
      </c>
      <c r="C69" s="83">
        <f>SUM(C66:C68)</f>
        <v>18863.439999999999</v>
      </c>
      <c r="D69" s="83">
        <f t="shared" ref="D69:M69" si="4">SUM(D66:D68)</f>
        <v>19335.025999999998</v>
      </c>
      <c r="E69" s="83">
        <f t="shared" si="4"/>
        <v>19818.40165</v>
      </c>
      <c r="F69" s="83">
        <f t="shared" si="4"/>
        <v>20313.86169125</v>
      </c>
      <c r="G69" s="83">
        <f t="shared" si="4"/>
        <v>20821.708233531244</v>
      </c>
      <c r="H69" s="83">
        <f t="shared" si="4"/>
        <v>21342.250939369525</v>
      </c>
      <c r="I69" s="84">
        <f t="shared" si="4"/>
        <v>21875.807212853761</v>
      </c>
      <c r="J69" s="84">
        <f t="shared" si="4"/>
        <v>22422.702393175106</v>
      </c>
      <c r="K69" s="84">
        <f t="shared" si="4"/>
        <v>22983.269953004481</v>
      </c>
      <c r="L69" s="84">
        <f t="shared" si="4"/>
        <v>23557.85170182959</v>
      </c>
      <c r="M69" s="84">
        <f t="shared" si="4"/>
        <v>24146.797994375331</v>
      </c>
    </row>
    <row r="70" spans="2:13" s="62" customFormat="1" ht="15" customHeight="1" x14ac:dyDescent="0.15">
      <c r="B70" s="62" t="s">
        <v>55</v>
      </c>
    </row>
    <row r="71" spans="2:13" s="62" customFormat="1" ht="9.75" customHeight="1" x14ac:dyDescent="0.15"/>
    <row r="72" spans="2:13" ht="14.25" customHeight="1" thickBot="1" x14ac:dyDescent="0.25">
      <c r="B72" s="80" t="s">
        <v>50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2:13" s="11" customFormat="1" ht="15" customHeight="1" x14ac:dyDescent="0.2">
      <c r="B73" s="17" t="s">
        <v>49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2:13" ht="14.25" customHeight="1" x14ac:dyDescent="0.2">
      <c r="B74" s="13" t="s">
        <v>42</v>
      </c>
      <c r="C74" s="27">
        <f>+C28</f>
        <v>24960</v>
      </c>
      <c r="D74" s="56">
        <f t="shared" ref="D74:M74" si="5">$C$28*(1+$C$10)^(D$63-$C$63)</f>
        <v>25583.999999999996</v>
      </c>
      <c r="E74" s="56">
        <f t="shared" si="5"/>
        <v>26223.599999999999</v>
      </c>
      <c r="F74" s="56">
        <f t="shared" si="5"/>
        <v>26879.19</v>
      </c>
      <c r="G74" s="56">
        <f t="shared" si="5"/>
        <v>27551.169749999994</v>
      </c>
      <c r="H74" s="56">
        <f t="shared" si="5"/>
        <v>28239.948993749993</v>
      </c>
      <c r="I74" s="56">
        <f t="shared" si="5"/>
        <v>28945.947718593739</v>
      </c>
      <c r="J74" s="56">
        <f t="shared" si="5"/>
        <v>29669.596411558585</v>
      </c>
      <c r="K74" s="56">
        <f t="shared" si="5"/>
        <v>30411.336321847546</v>
      </c>
      <c r="L74" s="56">
        <f t="shared" si="5"/>
        <v>31171.61972989373</v>
      </c>
      <c r="M74" s="56">
        <f t="shared" si="5"/>
        <v>31950.910223141072</v>
      </c>
    </row>
    <row r="75" spans="2:13" ht="14.25" customHeight="1" x14ac:dyDescent="0.2">
      <c r="B75" s="13" t="s">
        <v>14</v>
      </c>
      <c r="C75" s="56">
        <f>-C40</f>
        <v>-6096.56</v>
      </c>
      <c r="D75" s="56">
        <f t="shared" ref="D75:M75" si="6">-$C$40*(1+$C$10)^(D$63-$C$63)</f>
        <v>-6248.9740000000002</v>
      </c>
      <c r="E75" s="56">
        <f t="shared" si="6"/>
        <v>-6405.1983499999997</v>
      </c>
      <c r="F75" s="56">
        <f t="shared" si="6"/>
        <v>-6565.3283087499995</v>
      </c>
      <c r="G75" s="56">
        <f t="shared" si="6"/>
        <v>-6729.4615164687493</v>
      </c>
      <c r="H75" s="56">
        <f t="shared" si="6"/>
        <v>-6897.6980543804675</v>
      </c>
      <c r="I75" s="56">
        <f t="shared" si="6"/>
        <v>-7070.1405057399779</v>
      </c>
      <c r="J75" s="56">
        <f t="shared" si="6"/>
        <v>-7246.8940183834784</v>
      </c>
      <c r="K75" s="56">
        <f t="shared" si="6"/>
        <v>-7428.0663688430641</v>
      </c>
      <c r="L75" s="56">
        <f t="shared" si="6"/>
        <v>-7613.7680280641398</v>
      </c>
      <c r="M75" s="56">
        <f t="shared" si="6"/>
        <v>-7804.1122287657436</v>
      </c>
    </row>
    <row r="76" spans="2:13" ht="14.25" customHeight="1" x14ac:dyDescent="0.2">
      <c r="B76" s="13" t="s">
        <v>43</v>
      </c>
      <c r="C76" s="56">
        <f>-$E$43-$C$44</f>
        <v>0</v>
      </c>
      <c r="D76" s="56">
        <f t="shared" ref="D76:M76" si="7">-$E$43-$C$44</f>
        <v>0</v>
      </c>
      <c r="E76" s="56">
        <f t="shared" si="7"/>
        <v>0</v>
      </c>
      <c r="F76" s="56">
        <f t="shared" si="7"/>
        <v>0</v>
      </c>
      <c r="G76" s="56">
        <f t="shared" si="7"/>
        <v>0</v>
      </c>
      <c r="H76" s="56">
        <f t="shared" si="7"/>
        <v>0</v>
      </c>
      <c r="I76" s="56">
        <f t="shared" si="7"/>
        <v>0</v>
      </c>
      <c r="J76" s="56">
        <f t="shared" si="7"/>
        <v>0</v>
      </c>
      <c r="K76" s="56">
        <f t="shared" si="7"/>
        <v>0</v>
      </c>
      <c r="L76" s="56">
        <f t="shared" si="7"/>
        <v>0</v>
      </c>
      <c r="M76" s="56">
        <f t="shared" si="7"/>
        <v>0</v>
      </c>
    </row>
    <row r="77" spans="2:13" ht="14.25" customHeight="1" x14ac:dyDescent="0.2">
      <c r="B77" s="82" t="s">
        <v>26</v>
      </c>
      <c r="C77" s="83">
        <f t="shared" ref="C77:M77" si="8">SUM(C74:C76)</f>
        <v>18863.439999999999</v>
      </c>
      <c r="D77" s="83">
        <f t="shared" si="8"/>
        <v>19335.025999999998</v>
      </c>
      <c r="E77" s="83">
        <f t="shared" si="8"/>
        <v>19818.40165</v>
      </c>
      <c r="F77" s="83">
        <f t="shared" si="8"/>
        <v>20313.86169125</v>
      </c>
      <c r="G77" s="83">
        <f t="shared" si="8"/>
        <v>20821.708233531244</v>
      </c>
      <c r="H77" s="83">
        <f t="shared" si="8"/>
        <v>21342.250939369525</v>
      </c>
      <c r="I77" s="84">
        <f t="shared" si="8"/>
        <v>21875.807212853761</v>
      </c>
      <c r="J77" s="84">
        <f t="shared" si="8"/>
        <v>22422.702393175106</v>
      </c>
      <c r="K77" s="84">
        <f t="shared" si="8"/>
        <v>22983.269953004481</v>
      </c>
      <c r="L77" s="84">
        <f t="shared" si="8"/>
        <v>23557.85170182959</v>
      </c>
      <c r="M77" s="84">
        <f t="shared" si="8"/>
        <v>24146.797994375331</v>
      </c>
    </row>
    <row r="78" spans="2:13" s="11" customFormat="1" ht="8.25" customHeight="1" thickBot="1" x14ac:dyDescent="0.25">
      <c r="B78" s="77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2:13" s="11" customFormat="1" ht="15" customHeight="1" x14ac:dyDescent="0.2">
      <c r="B79" s="17" t="s">
        <v>57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2:13" ht="14.25" customHeight="1" x14ac:dyDescent="0.2">
      <c r="B80" s="13" t="s">
        <v>43</v>
      </c>
      <c r="C80" s="56">
        <f>IPMT($C$7,C$63,$C$9,$C$19)-$C$44</f>
        <v>0</v>
      </c>
      <c r="D80" s="56">
        <f t="shared" ref="D80:M80" si="9">IPMT($C$7,D$63,$C$9,$C$19)-$C$44</f>
        <v>0</v>
      </c>
      <c r="E80" s="56">
        <f t="shared" si="9"/>
        <v>0</v>
      </c>
      <c r="F80" s="56">
        <f t="shared" si="9"/>
        <v>0</v>
      </c>
      <c r="G80" s="56">
        <f t="shared" si="9"/>
        <v>0</v>
      </c>
      <c r="H80" s="56">
        <f t="shared" si="9"/>
        <v>0</v>
      </c>
      <c r="I80" s="56">
        <f t="shared" si="9"/>
        <v>0</v>
      </c>
      <c r="J80" s="56">
        <f t="shared" si="9"/>
        <v>0</v>
      </c>
      <c r="K80" s="56">
        <f t="shared" si="9"/>
        <v>0</v>
      </c>
      <c r="L80" s="56">
        <f t="shared" si="9"/>
        <v>0</v>
      </c>
      <c r="M80" s="56">
        <f t="shared" si="9"/>
        <v>0</v>
      </c>
    </row>
    <row r="81" spans="1:13" ht="14.25" customHeight="1" x14ac:dyDescent="0.2">
      <c r="B81" s="9" t="s">
        <v>58</v>
      </c>
      <c r="C81" s="74">
        <f>+C80+C67+C66</f>
        <v>18863.439999999999</v>
      </c>
      <c r="D81" s="74">
        <f t="shared" ref="D81:M81" si="10">+D80+D67+D66</f>
        <v>19335.025999999998</v>
      </c>
      <c r="E81" s="74">
        <f t="shared" si="10"/>
        <v>19818.40165</v>
      </c>
      <c r="F81" s="74">
        <f t="shared" si="10"/>
        <v>20313.86169125</v>
      </c>
      <c r="G81" s="74">
        <f t="shared" si="10"/>
        <v>20821.708233531244</v>
      </c>
      <c r="H81" s="74">
        <f t="shared" si="10"/>
        <v>21342.250939369525</v>
      </c>
      <c r="I81" s="73">
        <f t="shared" si="10"/>
        <v>21875.807212853761</v>
      </c>
      <c r="J81" s="73">
        <f t="shared" si="10"/>
        <v>22422.702393175106</v>
      </c>
      <c r="K81" s="73">
        <f t="shared" si="10"/>
        <v>22983.269953004481</v>
      </c>
      <c r="L81" s="73">
        <f t="shared" si="10"/>
        <v>23557.85170182959</v>
      </c>
      <c r="M81" s="73">
        <f t="shared" si="10"/>
        <v>24146.797994375331</v>
      </c>
    </row>
    <row r="82" spans="1:13" ht="14.25" customHeight="1" thickBot="1" x14ac:dyDescent="0.25"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1:13" ht="14.25" customHeight="1" x14ac:dyDescent="0.2">
      <c r="B83" s="14" t="s">
        <v>53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</row>
    <row r="84" spans="1:13" ht="14.25" customHeight="1" x14ac:dyDescent="0.2">
      <c r="B84" s="13" t="s">
        <v>44</v>
      </c>
      <c r="C84" s="56">
        <f>($C$14+$C$17)*(1+$C$11)^(C$63-$C$63+1)</f>
        <v>617175</v>
      </c>
      <c r="D84" s="56">
        <f t="shared" ref="D84:M84" si="11">($C$14+$C$17)*(1+$C$11)^(D$63-$C$63+1)</f>
        <v>651119.625</v>
      </c>
      <c r="E84" s="56">
        <f t="shared" si="11"/>
        <v>686931.20437499986</v>
      </c>
      <c r="F84" s="56">
        <f t="shared" si="11"/>
        <v>724712.42061562487</v>
      </c>
      <c r="G84" s="56">
        <f t="shared" si="11"/>
        <v>764571.60374948417</v>
      </c>
      <c r="H84" s="56">
        <f t="shared" si="11"/>
        <v>806623.04195570585</v>
      </c>
      <c r="I84" s="56">
        <f t="shared" si="11"/>
        <v>850987.30926326953</v>
      </c>
      <c r="J84" s="56">
        <f t="shared" si="11"/>
        <v>897791.61127274937</v>
      </c>
      <c r="K84" s="56">
        <f t="shared" si="11"/>
        <v>947170.14989275066</v>
      </c>
      <c r="L84" s="56">
        <f t="shared" si="11"/>
        <v>999264.50813685183</v>
      </c>
      <c r="M84" s="56">
        <f t="shared" si="11"/>
        <v>1054224.0560843786</v>
      </c>
    </row>
    <row r="85" spans="1:13" ht="6.75" customHeight="1" x14ac:dyDescent="0.2">
      <c r="B85" s="13"/>
      <c r="C85" s="27"/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1:13" ht="14.25" customHeight="1" x14ac:dyDescent="0.2">
      <c r="B86" s="13" t="s">
        <v>46</v>
      </c>
      <c r="C86" s="56">
        <f>-$C$19</f>
        <v>0</v>
      </c>
      <c r="D86" s="56">
        <f t="shared" ref="D86:M86" si="12">-$C$19</f>
        <v>0</v>
      </c>
      <c r="E86" s="56">
        <f t="shared" si="12"/>
        <v>0</v>
      </c>
      <c r="F86" s="56">
        <f t="shared" si="12"/>
        <v>0</v>
      </c>
      <c r="G86" s="56">
        <f t="shared" si="12"/>
        <v>0</v>
      </c>
      <c r="H86" s="56">
        <f t="shared" si="12"/>
        <v>0</v>
      </c>
      <c r="I86" s="56">
        <f t="shared" si="12"/>
        <v>0</v>
      </c>
      <c r="J86" s="56">
        <f t="shared" si="12"/>
        <v>0</v>
      </c>
      <c r="K86" s="56">
        <f t="shared" si="12"/>
        <v>0</v>
      </c>
      <c r="L86" s="56">
        <f t="shared" si="12"/>
        <v>0</v>
      </c>
      <c r="M86" s="56">
        <f t="shared" si="12"/>
        <v>0</v>
      </c>
    </row>
    <row r="87" spans="1:13" ht="14.25" customHeight="1" x14ac:dyDescent="0.2">
      <c r="B87" s="13" t="s">
        <v>52</v>
      </c>
      <c r="C87" s="56">
        <f>+$C$20</f>
        <v>614250</v>
      </c>
      <c r="D87" s="56">
        <f t="shared" ref="D87:M87" si="13">+$C$20</f>
        <v>614250</v>
      </c>
      <c r="E87" s="56">
        <f t="shared" si="13"/>
        <v>614250</v>
      </c>
      <c r="F87" s="56">
        <f t="shared" si="13"/>
        <v>614250</v>
      </c>
      <c r="G87" s="56">
        <f t="shared" si="13"/>
        <v>614250</v>
      </c>
      <c r="H87" s="56">
        <f t="shared" si="13"/>
        <v>614250</v>
      </c>
      <c r="I87" s="56">
        <f t="shared" si="13"/>
        <v>614250</v>
      </c>
      <c r="J87" s="56">
        <f t="shared" si="13"/>
        <v>614250</v>
      </c>
      <c r="K87" s="56">
        <f t="shared" si="13"/>
        <v>614250</v>
      </c>
      <c r="L87" s="56">
        <f t="shared" si="13"/>
        <v>614250</v>
      </c>
      <c r="M87" s="56">
        <f t="shared" si="13"/>
        <v>614250</v>
      </c>
    </row>
    <row r="88" spans="1:13" ht="14.25" customHeight="1" x14ac:dyDescent="0.2">
      <c r="B88" s="68" t="s">
        <v>45</v>
      </c>
      <c r="C88" s="69">
        <f>+C86+C84-C87</f>
        <v>2925</v>
      </c>
      <c r="D88" s="69">
        <f t="shared" ref="D88:M88" si="14">+D86+D84-D87</f>
        <v>36869.625</v>
      </c>
      <c r="E88" s="69">
        <f t="shared" si="14"/>
        <v>72681.204374999856</v>
      </c>
      <c r="F88" s="69">
        <f t="shared" si="14"/>
        <v>110462.42061562487</v>
      </c>
      <c r="G88" s="69">
        <f t="shared" si="14"/>
        <v>150321.60374948417</v>
      </c>
      <c r="H88" s="69">
        <f t="shared" si="14"/>
        <v>192373.04195570585</v>
      </c>
      <c r="I88" s="69">
        <f t="shared" si="14"/>
        <v>236737.30926326953</v>
      </c>
      <c r="J88" s="69">
        <f t="shared" si="14"/>
        <v>283541.61127274937</v>
      </c>
      <c r="K88" s="69">
        <f t="shared" si="14"/>
        <v>332920.14989275066</v>
      </c>
      <c r="L88" s="69">
        <f t="shared" si="14"/>
        <v>385014.50813685183</v>
      </c>
      <c r="M88" s="69">
        <f t="shared" si="14"/>
        <v>439974.05608437862</v>
      </c>
    </row>
    <row r="89" spans="1:13" ht="6.75" customHeight="1" x14ac:dyDescent="0.2">
      <c r="B89" s="58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4.25" customHeight="1" x14ac:dyDescent="0.2">
      <c r="B90" s="13" t="s">
        <v>47</v>
      </c>
      <c r="C90" s="56">
        <f t="shared" ref="C90:M90" si="15">IPMT($C$7,C$63+1,$C$9,$C$19)/$C$7</f>
        <v>0</v>
      </c>
      <c r="D90" s="56">
        <f t="shared" si="15"/>
        <v>0</v>
      </c>
      <c r="E90" s="56">
        <f t="shared" si="15"/>
        <v>0</v>
      </c>
      <c r="F90" s="56">
        <f t="shared" si="15"/>
        <v>0</v>
      </c>
      <c r="G90" s="56">
        <f t="shared" si="15"/>
        <v>0</v>
      </c>
      <c r="H90" s="56">
        <f t="shared" si="15"/>
        <v>0</v>
      </c>
      <c r="I90" s="56">
        <f t="shared" si="15"/>
        <v>0</v>
      </c>
      <c r="J90" s="56">
        <f t="shared" si="15"/>
        <v>0</v>
      </c>
      <c r="K90" s="56">
        <f t="shared" si="15"/>
        <v>0</v>
      </c>
      <c r="L90" s="56">
        <f t="shared" si="15"/>
        <v>0</v>
      </c>
      <c r="M90" s="56">
        <f t="shared" si="15"/>
        <v>0</v>
      </c>
    </row>
    <row r="91" spans="1:13" ht="14.25" customHeight="1" x14ac:dyDescent="0.2">
      <c r="B91" s="13" t="s">
        <v>52</v>
      </c>
      <c r="C91" s="56">
        <f>+$C$20</f>
        <v>614250</v>
      </c>
      <c r="D91" s="56">
        <f t="shared" ref="D91:M91" si="16">+$C$20</f>
        <v>614250</v>
      </c>
      <c r="E91" s="56">
        <f t="shared" si="16"/>
        <v>614250</v>
      </c>
      <c r="F91" s="56">
        <f t="shared" si="16"/>
        <v>614250</v>
      </c>
      <c r="G91" s="56">
        <f t="shared" si="16"/>
        <v>614250</v>
      </c>
      <c r="H91" s="56">
        <f t="shared" si="16"/>
        <v>614250</v>
      </c>
      <c r="I91" s="56">
        <f t="shared" si="16"/>
        <v>614250</v>
      </c>
      <c r="J91" s="56">
        <f t="shared" si="16"/>
        <v>614250</v>
      </c>
      <c r="K91" s="56">
        <f t="shared" si="16"/>
        <v>614250</v>
      </c>
      <c r="L91" s="56">
        <f t="shared" si="16"/>
        <v>614250</v>
      </c>
      <c r="M91" s="56">
        <f t="shared" si="16"/>
        <v>614250</v>
      </c>
    </row>
    <row r="92" spans="1:13" ht="14.25" customHeight="1" x14ac:dyDescent="0.2">
      <c r="B92" s="68" t="s">
        <v>48</v>
      </c>
      <c r="C92" s="69">
        <f>+C90+C84-C91</f>
        <v>2925</v>
      </c>
      <c r="D92" s="69">
        <f t="shared" ref="D92:M92" si="17">+D90+D84-D91</f>
        <v>36869.625</v>
      </c>
      <c r="E92" s="69">
        <f t="shared" si="17"/>
        <v>72681.204374999856</v>
      </c>
      <c r="F92" s="69">
        <f t="shared" si="17"/>
        <v>110462.42061562487</v>
      </c>
      <c r="G92" s="69">
        <f t="shared" si="17"/>
        <v>150321.60374948417</v>
      </c>
      <c r="H92" s="69">
        <f t="shared" si="17"/>
        <v>192373.04195570585</v>
      </c>
      <c r="I92" s="69">
        <f t="shared" si="17"/>
        <v>236737.30926326953</v>
      </c>
      <c r="J92" s="69">
        <f t="shared" si="17"/>
        <v>283541.61127274937</v>
      </c>
      <c r="K92" s="69">
        <f t="shared" si="17"/>
        <v>332920.14989275066</v>
      </c>
      <c r="L92" s="69">
        <f t="shared" si="17"/>
        <v>385014.50813685183</v>
      </c>
      <c r="M92" s="69">
        <f t="shared" si="17"/>
        <v>439974.05608437862</v>
      </c>
    </row>
    <row r="93" spans="1:13" s="11" customFormat="1" ht="9.75" customHeight="1" x14ac:dyDescent="0.2">
      <c r="B93" s="13"/>
      <c r="C93" s="70"/>
      <c r="D93" s="60"/>
      <c r="E93" s="60"/>
      <c r="F93" s="60"/>
      <c r="G93" s="60"/>
      <c r="H93" s="60"/>
      <c r="I93" s="60"/>
      <c r="J93" s="60"/>
      <c r="K93" s="60"/>
      <c r="L93" s="60"/>
      <c r="M93" s="60"/>
    </row>
    <row r="94" spans="1:13" ht="3.95" customHeight="1" x14ac:dyDescent="0.2">
      <c r="A94" s="7"/>
      <c r="B94" s="7"/>
      <c r="C94" s="7"/>
      <c r="D94" s="7"/>
      <c r="E94" s="22"/>
      <c r="F94" s="7"/>
      <c r="G94" s="7"/>
      <c r="H94" s="7"/>
      <c r="I94" s="7"/>
    </row>
    <row r="95" spans="1:13" x14ac:dyDescent="0.2">
      <c r="C95" s="27"/>
      <c r="D95" s="27"/>
      <c r="F95" s="27"/>
      <c r="G95" s="27"/>
      <c r="H95" s="27"/>
      <c r="I95" s="27"/>
    </row>
    <row r="96" spans="1:13" x14ac:dyDescent="0.2">
      <c r="C96" s="75"/>
      <c r="D96" s="75"/>
      <c r="E96" s="89">
        <f>SUM($C81:E81)</f>
        <v>58016.86765</v>
      </c>
      <c r="F96" s="89">
        <f>SUM($C81:F81)</f>
        <v>78330.72934125</v>
      </c>
      <c r="G96" s="89">
        <f>SUM($C81:G81)</f>
        <v>99152.437574781245</v>
      </c>
      <c r="H96" s="89">
        <f>SUM($C81:H81)</f>
        <v>120494.68851415077</v>
      </c>
      <c r="I96" s="89">
        <f>SUM($C81:I81)</f>
        <v>142370.49572700454</v>
      </c>
      <c r="J96" s="89">
        <f>SUM($C81:J81)</f>
        <v>164793.19812017964</v>
      </c>
    </row>
    <row r="97" spans="4:10" x14ac:dyDescent="0.2">
      <c r="D97" s="57"/>
      <c r="E97" s="89">
        <f t="shared" ref="E97:I97" si="18">+E84-$C$14</f>
        <v>101931.20437499986</v>
      </c>
      <c r="F97" s="89">
        <f t="shared" si="18"/>
        <v>139712.42061562487</v>
      </c>
      <c r="G97" s="89">
        <f t="shared" si="18"/>
        <v>179571.60374948417</v>
      </c>
      <c r="H97" s="89">
        <f t="shared" si="18"/>
        <v>221623.04195570585</v>
      </c>
      <c r="I97" s="89">
        <f t="shared" si="18"/>
        <v>265987.30926326953</v>
      </c>
      <c r="J97" s="89">
        <f t="shared" ref="H97:J97" si="19">+J84-$C$14</f>
        <v>312791.61127274937</v>
      </c>
    </row>
    <row r="98" spans="4:10" x14ac:dyDescent="0.2">
      <c r="E98" s="89">
        <f t="shared" ref="E98" si="20">+E97+E96</f>
        <v>159948.07202499986</v>
      </c>
      <c r="F98" s="89">
        <f t="shared" ref="F98" si="21">+F97+F96</f>
        <v>218043.14995687487</v>
      </c>
      <c r="G98" s="89">
        <f t="shared" ref="G98" si="22">+G97+G96</f>
        <v>278724.04132426542</v>
      </c>
      <c r="H98" s="89">
        <f t="shared" ref="H98" si="23">+H97+H96</f>
        <v>342117.73046985664</v>
      </c>
      <c r="I98" s="89">
        <f t="shared" ref="I98" si="24">+I97+I96</f>
        <v>408357.80499027407</v>
      </c>
      <c r="J98" s="89">
        <f t="shared" ref="H98:J98" si="25">+J97+J96</f>
        <v>477584.80939292902</v>
      </c>
    </row>
  </sheetData>
  <mergeCells count="1">
    <mergeCell ref="B2:I2"/>
  </mergeCells>
  <conditionalFormatting sqref="D61">
    <cfRule type="expression" dxfId="7" priority="7">
      <formula>D61&gt;0</formula>
    </cfRule>
    <cfRule type="expression" dxfId="6" priority="8">
      <formula>D61&lt;0</formula>
    </cfRule>
  </conditionalFormatting>
  <conditionalFormatting sqref="E61">
    <cfRule type="expression" dxfId="5" priority="5">
      <formula>E61&gt;0</formula>
    </cfRule>
    <cfRule type="expression" dxfId="4" priority="6">
      <formula>E61&lt;0</formula>
    </cfRule>
  </conditionalFormatting>
  <conditionalFormatting sqref="C69:M69">
    <cfRule type="expression" dxfId="3" priority="3">
      <formula>C69&gt;0</formula>
    </cfRule>
    <cfRule type="expression" dxfId="2" priority="4">
      <formula>C69&lt;0</formula>
    </cfRule>
  </conditionalFormatting>
  <conditionalFormatting sqref="C77:M77">
    <cfRule type="expression" dxfId="1" priority="1">
      <formula>C77&gt;0</formula>
    </cfRule>
    <cfRule type="expression" dxfId="0" priority="2">
      <formula>C77&lt;0</formula>
    </cfRule>
  </conditionalFormatting>
  <printOptions horizontalCentered="1"/>
  <pageMargins left="0.75" right="0.75" top="1" bottom="1" header="0.5" footer="0.5"/>
  <pageSetup scale="8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F6AEBD0-AE31-4609-858E-CDCC76A3C0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Property</vt:lpstr>
      <vt:lpstr>CF+ Property NZ</vt:lpstr>
      <vt:lpstr>Growth Property Aus</vt:lpstr>
      <vt:lpstr>CF+ Lisa Cr NZ </vt:lpstr>
      <vt:lpstr>CF+ Lisa Cr NZ  (2)</vt:lpstr>
      <vt:lpstr>'CF+ Lisa Cr NZ '!Print_Area</vt:lpstr>
      <vt:lpstr>'CF+ Lisa Cr NZ  (2)'!Print_Area</vt:lpstr>
      <vt:lpstr>'CF+ Property NZ'!Print_Area</vt:lpstr>
      <vt:lpstr>'Growth Property Aus'!Print_Area</vt:lpstr>
      <vt:lpstr>Property!Print_Area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>Dwight</dc:creator>
  <cp:lastModifiedBy>Dwight</cp:lastModifiedBy>
  <cp:lastPrinted>2008-11-17T23:26:21Z</cp:lastPrinted>
  <dcterms:created xsi:type="dcterms:W3CDTF">2014-05-30T06:09:57Z</dcterms:created>
  <dcterms:modified xsi:type="dcterms:W3CDTF">2014-06-28T08:19:20Z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